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Таблица 6 " sheetId="1" r:id="rId1"/>
  </sheets>
  <definedNames>
    <definedName name="_xlnm.Print_Titles" localSheetId="0">'Таблица 6 '!$6:$8</definedName>
    <definedName name="_xlnm._FilterDatabase" localSheetId="0" hidden="1">'Таблица 6 '!$A$8:$M$109</definedName>
    <definedName name="OLE_LINK3" localSheetId="0">'Таблица 6 '!$A$4</definedName>
    <definedName name="_ftn1" localSheetId="0">'Таблица 6 '!$A$109</definedName>
    <definedName name="_ftnref1" localSheetId="0">'Таблица 6 '!#REF!</definedName>
  </definedNames>
  <calcPr fullCalcOnLoad="1"/>
</workbook>
</file>

<file path=xl/sharedStrings.xml><?xml version="1.0" encoding="utf-8"?>
<sst xmlns="http://schemas.openxmlformats.org/spreadsheetml/2006/main" count="407" uniqueCount="213">
  <si>
    <t xml:space="preserve">
                                                                                                                                       «Транспорт система сӧвмӧдӧм» Коми Республикаса Канму уджтас вынсьӧдом йылысь»                                                                                                                                   Коми Республикаса Веськӧдлан котырлӧн 2011 во ӧшым тӧлысь 30 лунся 650 №-а  шуӧмӧ пыртӧм вежсьӧмъяс дорӧ                                                                                                                                              2 СОДТӦД </t>
  </si>
  <si>
    <t xml:space="preserve">"6 Таблица </t>
  </si>
  <si>
    <t>Канму уджтаслысь збыльмöдöмсö Коми Республикаса республиканскöй сьӧмкуд сьöм тшöт весьтö ресуръясöн могмöдöм (сюрс шайт)</t>
  </si>
  <si>
    <t>Статус</t>
  </si>
  <si>
    <t>Канму уджтас, Канму уджтаслöн уджтасувъяс, дыр кадся республиканскöй торъя мога уджтас (дыр кадся республиканскöй торъя мога уджтаслöн уджтасув), ведомствоса торъя мога уджтас, шöр мероприятие ним</t>
  </si>
  <si>
    <t>Кывкутысь вӧчысь, содтӧд вӧчысьяс, заказчик-координатор</t>
  </si>
  <si>
    <t>Сьӧмкуд сикасалӧмлӧн код</t>
  </si>
  <si>
    <t>Рӧскодъяс (сюрс шайт), вояс</t>
  </si>
  <si>
    <t>ГРБС</t>
  </si>
  <si>
    <t>КФСР</t>
  </si>
  <si>
    <t>КЦСР</t>
  </si>
  <si>
    <t>КВР</t>
  </si>
  <si>
    <t>2012 во</t>
  </si>
  <si>
    <t>2013 во</t>
  </si>
  <si>
    <t>2014 во</t>
  </si>
  <si>
    <t xml:space="preserve">2015 во </t>
  </si>
  <si>
    <t>Ставнас</t>
  </si>
  <si>
    <t>Канму уджтас</t>
  </si>
  <si>
    <t>Транспорт система сӧвмӧдӧм</t>
  </si>
  <si>
    <t>Х</t>
  </si>
  <si>
    <t>(проверка - сумма по подпрограммам)</t>
  </si>
  <si>
    <r>
      <t xml:space="preserve">Канму уджтас вӧсна кывкутысь вӧчысь
</t>
    </r>
    <r>
      <rPr>
        <b/>
        <sz val="10"/>
        <rFont val="Times New Roman"/>
        <family val="2"/>
      </rPr>
      <t xml:space="preserve">Коми Республикаса туй агентство
</t>
    </r>
  </si>
  <si>
    <r>
      <t xml:space="preserve">Содтӧд вӧчысь
</t>
    </r>
    <r>
      <rPr>
        <b/>
        <sz val="10"/>
        <rFont val="Times New Roman"/>
        <family val="2"/>
      </rPr>
      <t>Коми Республикаса прмышленносьт да транспорт сӧвмӧдан министерство</t>
    </r>
  </si>
  <si>
    <r>
      <t xml:space="preserve">Содтӧд вӧчысь
</t>
    </r>
    <r>
      <rPr>
        <b/>
        <sz val="10"/>
        <rFont val="Times New Roman"/>
        <family val="2"/>
      </rPr>
      <t>Коми Республикаса экономика сӧвмӧдан министерство</t>
    </r>
  </si>
  <si>
    <r>
      <t xml:space="preserve">Содтӧд вӧчысь
</t>
    </r>
    <r>
      <rPr>
        <b/>
        <sz val="10"/>
        <rFont val="Times New Roman"/>
        <family val="2"/>
      </rPr>
      <t>Коми Республикаса тариф служба</t>
    </r>
  </si>
  <si>
    <r>
      <t xml:space="preserve">Содтӧд вӧчысь
</t>
    </r>
    <r>
      <rPr>
        <b/>
        <sz val="10"/>
        <rFont val="Times New Roman"/>
        <family val="2"/>
      </rPr>
      <t>Коми Республикаса лицензия служба</t>
    </r>
  </si>
  <si>
    <r>
      <t xml:space="preserve">Содтӧд вӧчысь
</t>
    </r>
    <r>
      <rPr>
        <b/>
        <sz val="10"/>
        <rFont val="Times New Roman"/>
        <family val="2"/>
      </rPr>
      <t>Коми Республикаса техническӧй  дӧзьӧр служба</t>
    </r>
  </si>
  <si>
    <t xml:space="preserve"> 1. Уджтасув</t>
  </si>
  <si>
    <t>Коми Республикаса транспорт инфраструктура да олысьясöс да экономика  транспортöн могмöдöм сöвмöдöм</t>
  </si>
  <si>
    <t>(проверка - сумма по задачам)</t>
  </si>
  <si>
    <r>
      <t xml:space="preserve">Уджтасув кывкутысь вӧчысь
</t>
    </r>
    <r>
      <rPr>
        <b/>
        <sz val="10"/>
        <rFont val="Times New Roman"/>
        <family val="2"/>
      </rPr>
      <t xml:space="preserve">Коми Республикаса туй агентство
</t>
    </r>
  </si>
  <si>
    <r>
      <t xml:space="preserve">Содтӧд вӧчысь
</t>
    </r>
    <r>
      <rPr>
        <b/>
        <sz val="10"/>
        <color indexed="8"/>
        <rFont val="Times New Roman"/>
        <family val="2"/>
      </rPr>
      <t>Коми Республикаса промышленносьт да транспорт сӧвмӧдан министерство</t>
    </r>
  </si>
  <si>
    <t xml:space="preserve"> 1.1. мог</t>
  </si>
  <si>
    <t>Öтув вöдитчан автомашина туйяслысь öнія вез кутöм да вавывса туйяс видзöм</t>
  </si>
  <si>
    <t xml:space="preserve"> 1.1.1. Шӧр мероприятие
</t>
  </si>
  <si>
    <t xml:space="preserve"> Регионса либӧ муниципалитетъяскостса тӧдчанлуна ӧтув вӧдитчан автомашина туйъяслысь видзӧм, дзоньталӧм да капитальнӧя дзоньталӧмсӧ могмӧдӧм</t>
  </si>
  <si>
    <t>Коми Республикаса туй агентство</t>
  </si>
  <si>
    <t xml:space="preserve"> - регионса либӧ муниципалитетъяскостса тӧдчанлуна ӧтув вӧдитчана автомашина туйяс  капитальнӧя дзоньталӧмсӧ могмӧдӧм</t>
  </si>
  <si>
    <t>0409</t>
  </si>
  <si>
    <t>3150122</t>
  </si>
  <si>
    <t>243</t>
  </si>
  <si>
    <r>
      <t xml:space="preserve"> </t>
    </r>
    <r>
      <rPr>
        <sz val="9"/>
        <rFont val="Times New Roman"/>
        <family val="2"/>
      </rPr>
      <t>- регионса либӧ муниципалитетъяскостса тӧдчанлуна ӧтув автомашина туйяс видзӧмсӧ, дӧзьӧритӧмсӧ могмӧдӧм</t>
    </r>
  </si>
  <si>
    <t>244</t>
  </si>
  <si>
    <r>
      <t xml:space="preserve"> - </t>
    </r>
    <r>
      <rPr>
        <sz val="9"/>
        <rFont val="Times New Roman"/>
        <family val="2"/>
      </rPr>
      <t>туйвывса колана уджъяс збыльмӧдӧм вылӧ  оборудование да  мукӧд эмбур ньӧбӧмсӧ могмӧдӧм</t>
    </r>
  </si>
  <si>
    <t>3150321</t>
  </si>
  <si>
    <t xml:space="preserve"> 1.1.2. Шӧр мероприятие
</t>
  </si>
  <si>
    <t xml:space="preserve">Регионса да муниципалитетъяскостса тӧдчанлуна ӧтув вӧдитчан автомашина туйяс вылын туйті ветлӧдлӧмсӧ котыртӧмын техническӧй средствояс  видзӧм да уджалігкежлӧ дасьтӧмсӧ могмӧдӧм </t>
  </si>
  <si>
    <t xml:space="preserve"> 1.1.3. Шӧр мероприятие
</t>
  </si>
  <si>
    <t>Коми Республикаын меставывса тӧдчанлуна ӧтув вӧдитчана автомашина туйяс, олан пунктъяслӧн уличаяс да пурысьяс вылын  туйвывса  удж нуӧдӧм збыльмӧдан юкӧнын меставывса асвеськӧдлан органъяслы отсӧг сетӧм:</t>
  </si>
  <si>
    <t xml:space="preserve"> - йи вывтi вуджанiнъяс да меставывса тöдчанлуна öтув вöдитчан тöвся автомашина туйяс видзöм да уджалiгкежлö дасьтöм вылö меставывса сьöмкудъясö урчитöм пöрадок серти субсидияяс сетöм</t>
  </si>
  <si>
    <t>3150123</t>
  </si>
  <si>
    <t>521</t>
  </si>
  <si>
    <t xml:space="preserve"> - меставывса тöдчанлуна öтув вöдитчан автомашина туйяс видзöм вылö меставывса сьöмкудъясö урчитöм пöрадок серти субсидияяс сетöм </t>
  </si>
  <si>
    <t>3150124</t>
  </si>
  <si>
    <t xml:space="preserve">  -  меставывса тöдчанлуна öтув вöдитчан автомашина туйяс выльмӧдӧм,  капитальнӧя дзоньталӧм да дзоньталӧм вылö меставывса сьöмкудъясö урчитöм пöрадок серти субсидияяс сетöм </t>
  </si>
  <si>
    <t>3150125</t>
  </si>
  <si>
    <r>
      <t xml:space="preserve">  -</t>
    </r>
    <r>
      <rPr>
        <sz val="9"/>
        <rFont val="Times New Roman"/>
        <family val="1"/>
      </rPr>
      <t>Коми Республикаса олан пунктъясын уличаяс да пурысьяс капитальнöя дзоньталöм, дзоньталöм вылö меставывса сьöмкудъясö урчитöм пöрадок серти субсидияяс сетöм</t>
    </r>
  </si>
  <si>
    <t>3150126</t>
  </si>
  <si>
    <t xml:space="preserve">  -Коми Республикаын олан пунктъясса ӧтув вӧдитчана автомашина туйяс капитальнӧя дзоньталӧм да дзоньталӧм вылö меставывса сьöмкудъясö урчитöм пöрадок серти субсидияяс сетöм</t>
  </si>
  <si>
    <t>3150127</t>
  </si>
  <si>
    <r>
      <t xml:space="preserve">  -</t>
    </r>
    <r>
      <rPr>
        <sz val="9"/>
        <rFont val="Times New Roman"/>
        <family val="2"/>
      </rPr>
      <t xml:space="preserve"> Коми Республикаын сиктса олан пунктъясӧдз, кутшӧмъяслӧн абу ӧтув вӧдитчана автомашина  туй везӧн вогӧгӧрся йитӧдыс, чорыд веркӧса меставывса тӧдчанлуна  ӧтув вӧдитчана автомашина туйяслысь бала лӧсьӧдӧм, стрӧитӧм,  выльмӧдӧм вылö меставывса сьöмкудъясö урчитöм пöрадок серти субсидияяс сетöм</t>
    </r>
  </si>
  <si>
    <t>3150128</t>
  </si>
  <si>
    <t>523</t>
  </si>
  <si>
    <t xml:space="preserve">Основное мероприятие 1.1.4
</t>
  </si>
  <si>
    <t>Содействие проведению дноуглубительных работ на участках рек регионального значения в целях обеспечения перевозок пассажиров водным транспортом в межмуниципальном сообщении</t>
  </si>
  <si>
    <t>Министерство развития промышленности и транспорта Республики Коми</t>
  </si>
  <si>
    <t xml:space="preserve"> 1.1.5. Шӧр мероприятие
</t>
  </si>
  <si>
    <t>Коми Республикаын  регионса тöдчанлуна юяс вылын суднояслы ветлыны позянлун  видзöмсö могмöдöм</t>
  </si>
  <si>
    <t>Коми Республикаса промышленносьт да транспорт сӧвмӧдан министерство</t>
  </si>
  <si>
    <t>0408</t>
  </si>
  <si>
    <t>1.2. мог</t>
  </si>
  <si>
    <t>Öтув вöдитчан автомашина туй везъяс сöвмöдöм, транспорт инфраструктураса мукöд объект лöсьöдöм да найöс бурмöдöм</t>
  </si>
  <si>
    <t xml:space="preserve">1.2.1. Шӧр мероприятие
</t>
  </si>
  <si>
    <t xml:space="preserve">Коми Республикаын регионса либӧ муниципалитетъяскостса тӧдчанлуна ӧтув вӧдитчана автомашина туйяс стрӧитӧм (выльмӧдӧм) </t>
  </si>
  <si>
    <t>3150221</t>
  </si>
  <si>
    <t>411</t>
  </si>
  <si>
    <t>851</t>
  </si>
  <si>
    <t>3150222</t>
  </si>
  <si>
    <t xml:space="preserve"> 1.2.2. Шӧр мероприятие
</t>
  </si>
  <si>
    <r>
      <t xml:space="preserve">Регионса либӧ муниципалитетъяскостса ӧтув вӧдитчана автомашина туйяс  уджалігкежлӧ дасьтӧмын да туйвывса могмӧдӧмлӧн объектъяс сӧвмӧдӧмын отсӧг сетӧм
</t>
    </r>
    <r>
      <rPr>
        <sz val="9"/>
        <rFont val="Times New Roman"/>
        <family val="1"/>
      </rPr>
      <t xml:space="preserve"> </t>
    </r>
  </si>
  <si>
    <t xml:space="preserve">Коми Республикаса туй агентство
</t>
  </si>
  <si>
    <t xml:space="preserve">1.2.3. Шӧр мероприятие
</t>
  </si>
  <si>
    <t>Республикаын транспорт инфраструктураса объектъяс стрöитöмлы да выльмöдöмлы отсöг сетöм</t>
  </si>
  <si>
    <t>3050113</t>
  </si>
  <si>
    <t>810</t>
  </si>
  <si>
    <t xml:space="preserve">Основное мероприятие 1.2.4.
</t>
  </si>
  <si>
    <t xml:space="preserve">Содействие реализации комплексного инвестиционного проекта "Белкомур"
</t>
  </si>
  <si>
    <t xml:space="preserve"> 1.3.  мог</t>
  </si>
  <si>
    <t>Транспортын öнія шöр фондъяс выльмöдöм вылö да выльясöс ньöбöм вылö веськöдöм механизмъяс пыртöм</t>
  </si>
  <si>
    <t xml:space="preserve">Основное мероприятие 1.3.1.
</t>
  </si>
  <si>
    <t xml:space="preserve"> Содействие приобретению транспортных средств для осуществления пассажирских перевозок на автомобильном транспорте
</t>
  </si>
  <si>
    <t xml:space="preserve">Дорожное агентство Республики Коми
</t>
  </si>
  <si>
    <t xml:space="preserve">Основное мероприятие 1.3.2.
</t>
  </si>
  <si>
    <t xml:space="preserve"> Содействие приобретению подвижного состава на железнодорожном транспорте</t>
  </si>
  <si>
    <t xml:space="preserve">Основное мероприятие 1.3.3.
</t>
  </si>
  <si>
    <t>Содействие приобретению и обновлению транспортных средств для перевозки пассажиров на водном транспорте</t>
  </si>
  <si>
    <t xml:space="preserve">Основное мероприятие 1.3.4.
</t>
  </si>
  <si>
    <t xml:space="preserve"> Содействие приобретению и обновлению оборудования, необходимого для обеспечения транспортной безопасности на воздушном транспорте: 
</t>
  </si>
  <si>
    <t xml:space="preserve"> 2. Уджтасув</t>
  </si>
  <si>
    <t>Транспорт система сöвмöдöмöн веськöдлöмлысь качество кыпöдöм</t>
  </si>
  <si>
    <r>
      <t xml:space="preserve">Содтӧд вӧчысь
</t>
    </r>
    <r>
      <rPr>
        <b/>
        <sz val="10"/>
        <rFont val="Times New Roman"/>
        <family val="2"/>
      </rPr>
      <t>Коми Республикаса промышленносьт да транспорт сӧвмӧдан министерство</t>
    </r>
  </si>
  <si>
    <r>
      <t xml:space="preserve">Содтӧд вӧчысь
</t>
    </r>
    <r>
      <rPr>
        <b/>
        <sz val="9"/>
        <rFont val="Times New Roman"/>
        <family val="1"/>
      </rPr>
      <t>Коми Республикаса экономика сӧвмӧдан министество</t>
    </r>
  </si>
  <si>
    <r>
      <t xml:space="preserve">Соисполнитель
</t>
    </r>
    <r>
      <rPr>
        <b/>
        <sz val="10"/>
        <rFont val="Times New Roman"/>
        <family val="2"/>
      </rPr>
      <t>Служба Республики Коми по тарифам</t>
    </r>
  </si>
  <si>
    <r>
      <t xml:space="preserve">Соисполнитель
</t>
    </r>
    <r>
      <rPr>
        <b/>
        <sz val="10"/>
        <rFont val="Times New Roman"/>
        <family val="2"/>
      </rPr>
      <t>Служба Республики Коми по лицензированию</t>
    </r>
  </si>
  <si>
    <r>
      <t xml:space="preserve">Соисполнитель
</t>
    </r>
    <r>
      <rPr>
        <b/>
        <sz val="10"/>
        <rFont val="Times New Roman"/>
        <family val="2"/>
      </rPr>
      <t>Служба Республики Коми по техническому надзору</t>
    </r>
  </si>
  <si>
    <t xml:space="preserve"> 2.1. мог</t>
  </si>
  <si>
    <t>Коми Республикаса транспорт система сöвмöдан медлöсялана вариантъяс урчитöм</t>
  </si>
  <si>
    <t>Наука туялан уджъяс нуӧдӧм</t>
  </si>
  <si>
    <t xml:space="preserve"> 2.1.1. Шӧр мероприятие
</t>
  </si>
  <si>
    <t>Наука туялан уджъяс нуӧдӧм, кутшӧмъясӧс веськӧдӧма туйяслӧн вез да транспортно-маршрутнӧй вез иналӧмлӧн схема дасьтӧм вылӧ</t>
  </si>
  <si>
    <t>Коми Республикаса экономика сӧвмӧдан министерство</t>
  </si>
  <si>
    <t>0411</t>
  </si>
  <si>
    <t>0816900</t>
  </si>
  <si>
    <t xml:space="preserve"> 2.1.2. Шӧр мероприятие
</t>
  </si>
  <si>
    <t>Наука туялан уджъяс нуӧдӧм, кутшӧмъясӧс веськӧдӧма  транспорта услугаяслысь видзчысянлун, сибаланлун да  качество стандартизируйтӧм вылӧ</t>
  </si>
  <si>
    <t xml:space="preserve"> 2.2.  мог</t>
  </si>
  <si>
    <t>Автомашина, кöрт туй, сынöд да вавывса транспортöн транспорт услугаяс рынокöн веськöдлан методъяс сöвмöдöм</t>
  </si>
  <si>
    <t xml:space="preserve">Основное мероприятие 2.2.1.
</t>
  </si>
  <si>
    <t>Регулирование тарифов на услуги по перевозке грузов, пассажиров и багажа на отдельных видах транспорта</t>
  </si>
  <si>
    <t>Служба Республики Коми по тарифам</t>
  </si>
  <si>
    <t xml:space="preserve"> 2.2.2. Шӧр мероприятие
</t>
  </si>
  <si>
    <t>Автомашина транспортӧн  ветлысь-мунысьӧс да туй кӧлуй нуан-ваян удж збыльмӧдӧмсӧ котыртӧм</t>
  </si>
  <si>
    <t xml:space="preserve"> -Коми Республикаса мутасын  муниципалитетъяскостса йитӧдын автомашина транспортӧн ветлысь-мунысьӧс нуан-ваян удж збыльмӧдысь  автотранспортнӧй организацияяслы  да  ас вылӧ уджалысьяслы вошӧм чӧжӧс вештӧм</t>
  </si>
  <si>
    <t>3170111</t>
  </si>
  <si>
    <t xml:space="preserve"> 2.2.3. Шӧр мероприятие
</t>
  </si>
  <si>
    <t>Сынӧд транспортӧн  ветлысь-мунысьӧс да туй  кӧлуй нуан-ваян удж збыльмӧдӧмсӧ котыртӧм</t>
  </si>
  <si>
    <t>Коми Республикаса  промышленносьт да транспорт сӧвмӧдан министерство</t>
  </si>
  <si>
    <t xml:space="preserve"> - Коми Республикаын Ылі Войвыв  районъясын да накӧд ӧткодялӧм мутасъясын  муниципалитетъяскостса йитӧдын  сынӧд транспортӧн ветлысь-мунысьӧс нуан-ваян удж  збыльмӧдысь  сынӧд  транспорта организацияяслы  вошӧм чӧжӧс вештӧм</t>
  </si>
  <si>
    <t>Коми Республикаса промышленносьт да транспрот сӧмӧдан минстерство</t>
  </si>
  <si>
    <t>3000211</t>
  </si>
  <si>
    <t>Сынӧд транспорт организацияяслы, кутшӧмъяс збыльмӧдӧны  Коми Республикаса сьӧкыда воӧдчан олан пунктъясӧ муниципальнӧй пассажирскӧй  пытшкӧсса нуан-ваян удж, вошӧм чӧжӧс вештӧм вылӧ урчитӧм пӧрадок серти  меставывса сьӧмкудъяссӧ  сьӧмкудъяскостса трансфертъяс сетӧм</t>
  </si>
  <si>
    <t>3000212</t>
  </si>
  <si>
    <t xml:space="preserve"> 2.2.4. Шӧр меропритятие
</t>
  </si>
  <si>
    <t>Вавывса транспортӧн ветлысь-мунысьыӧс да туй  кӧлуй нуан-ваян удж збыльмӧдӧмсӧ котыртӧм</t>
  </si>
  <si>
    <t xml:space="preserve"> Коми Республикаса промышленносьт да транспрот сӧвмӧдан министерство</t>
  </si>
  <si>
    <t xml:space="preserve"> -ю транспорт организацияяслы, кутшӧмъяс збыльмӧдӧны Коми  Республика мутасын муниципалитетъяскостса йитӧдын ю транспортӧн ветлысь-мунысьӧс нуан-ваян удж, вештӧны вошӧм чӧжӧссӧ </t>
  </si>
  <si>
    <t>3010312</t>
  </si>
  <si>
    <t xml:space="preserve"> - ю транспорт организацияяслы, кутшӧмъяс збыльмӧдӧны Коми Республика мутасын муниципальнӧй пасажирскӧй пытшкӧсса ю транспортӧн нуан-ваян удж,  вошӧм чӧжӧс вештӧм вылӧ урчитӧм пӧрадок серти меставывса сьӧмкудъяссӧ  сьӧмкудъяскостса трансфертъяс сетӧм</t>
  </si>
  <si>
    <t>3010313</t>
  </si>
  <si>
    <t xml:space="preserve">2.2.5. Шӧр мероприятие
</t>
  </si>
  <si>
    <t xml:space="preserve">Кӧрт туй транспортӧн грузъяс, ветлысь-мунысьӧс да туй  кӧлуй нуан-ваян збыльмӧдӧмсӧ котыртӧм </t>
  </si>
  <si>
    <t xml:space="preserve"> Коми Республикаын промышленносьт да транспорт сӧвмӧдан министерство</t>
  </si>
  <si>
    <t xml:space="preserve"> ветлысь-мунысьӧс кöрт туй транспортöн каргӧгӧса нуан-ваян удж збыльмӧдӧпмысь кöрт туй организацияяслысь чöжöс воштöмъяссö компенсируйтöм</t>
  </si>
  <si>
    <t>Коми Республикаса промышленносьт да тарнспорт сӧвмӧдан министерство</t>
  </si>
  <si>
    <t>3050111</t>
  </si>
  <si>
    <t xml:space="preserve"> -  этша вöдитчана кöрт туй визьяс уджöдöмысь убытка юкöн компенсируйтöм</t>
  </si>
  <si>
    <t>3050112</t>
  </si>
  <si>
    <t xml:space="preserve"> 2.3.  мог</t>
  </si>
  <si>
    <t>Туй да транспорт уджалöм да туйтi ветлöдлöм видзчысянлун бöрся видзöдöмсö чорзьöдöм</t>
  </si>
  <si>
    <t xml:space="preserve"> 2.3.1. Шӧр мероприятие
</t>
  </si>
  <si>
    <t>Автомашина туйяс видзӧмсӧ могмӧдӧмын да туйвывса вӧчӧм уджъяслӧн, туй  стрӧитан вӧдитчан материалъяслӧн качество бӧрся видзӧдӧм юкӧнын канму услуга (збыль вӧчӧм удж) сетӧмын, функциияяс збыльмӧдӧм</t>
  </si>
  <si>
    <t xml:space="preserve"> -функцияяс збыльмӧдӧм, збыль уджъяс вӧчӧм, кутшӧмъясӧс веськӧдӧма автомашина туйяслысь видзӧмсӧ могмӧдӧм вылӧ</t>
  </si>
  <si>
    <t>3150121</t>
  </si>
  <si>
    <t>111,
112,
242,
244,
852</t>
  </si>
  <si>
    <t xml:space="preserve"> - туйвывса уджъяс вӧчӧм  да  туй  стрӧитан вӧдитчан материалъяслӧн качество бӧрся видзӧдан уджъяс вӧчӧм </t>
  </si>
  <si>
    <t>611</t>
  </si>
  <si>
    <t>612</t>
  </si>
  <si>
    <t xml:space="preserve"> -туйвывса уджъяс збыльмӧдӧм вылӧ колана оборудование да эмбур ньӧбӧмсӧ збыльмӧдӧм </t>
  </si>
  <si>
    <t xml:space="preserve">Основное мероприятие 2.3.2.
</t>
  </si>
  <si>
    <t xml:space="preserve">Мероприятия, направленные на контроль при осуществлении перевозок пассажиров и багажа автомобильным транспортом </t>
  </si>
  <si>
    <t xml:space="preserve">Основное мероприятие 2.3.3.
</t>
  </si>
  <si>
    <t xml:space="preserve">Мероприятия, направленные на контроль при осуществлении пассажирских перевозок воздушным транспортом </t>
  </si>
  <si>
    <t xml:space="preserve">2.3.4. Шӧр мероприятие
</t>
  </si>
  <si>
    <t>Автомашина транспорт движение да туйвывса ветлӧдлӧмлысь видзчысянлунсӧ могмӧдӧм гӧгӧртасын  веськӧдлан функцияяс збыльмӧдӧм</t>
  </si>
  <si>
    <t>111,
112,
242,
244</t>
  </si>
  <si>
    <t>3180101</t>
  </si>
  <si>
    <t xml:space="preserve"> 2.3.5. Шӧр мероприятиеяс
</t>
  </si>
  <si>
    <t>Туйті ветлӧдлан правилӧяс торкалӧм пасъян автоматизированнӧй тэчас артмӧдӧм да сӧвмӧдӧм</t>
  </si>
  <si>
    <t>242</t>
  </si>
  <si>
    <t xml:space="preserve">Основное мероприятие 2.3.6.
</t>
  </si>
  <si>
    <t xml:space="preserve">Осуществление функций,  оказание государственных услуг (выполнение работ) в области осуществления перевозок пассажиров и багажа легковым такси на территории Республики Коми </t>
  </si>
  <si>
    <t>Служба Республики Коми по лицензированию</t>
  </si>
  <si>
    <t xml:space="preserve">Основное мероприятие 2.3.7.
</t>
  </si>
  <si>
    <t>Осуществление функций, оказание государственных услуг (выполнение работ) в сфере технического состояния самоходных машин  и других видов техники на территории Республики Коми</t>
  </si>
  <si>
    <t>Служба Республики Коми по техническому надзору</t>
  </si>
  <si>
    <t xml:space="preserve"> 2.4. мог</t>
  </si>
  <si>
    <t xml:space="preserve">Туй да транспорт удж вöчигöн öнiя кадся веськöдлан ногъяс, технологияяс да материалъяс пыртöм </t>
  </si>
  <si>
    <t xml:space="preserve">Основное мероприятие 2.4.1.
</t>
  </si>
  <si>
    <t>Содействие созданию единого логистического центра по видам перевозок</t>
  </si>
  <si>
    <t xml:space="preserve"> 2.4.2. Шӧр мероприятие
</t>
  </si>
  <si>
    <t xml:space="preserve">  Туй овмöс юкӧнын  выль технологияяс да материалъяс дасьтöм да пыртöм </t>
  </si>
  <si>
    <t xml:space="preserve"> - туй овмӧс юкӧнын  наука туялан да опытно-конструкторскӧй уджъяс нуӧдӧм</t>
  </si>
  <si>
    <t>842</t>
  </si>
  <si>
    <t xml:space="preserve"> - туй овмӧс обласьтын технологическӧй уджъяс нуӧдӧм </t>
  </si>
  <si>
    <t xml:space="preserve"> 2.4.3. Шӧр мероприятие
</t>
  </si>
  <si>
    <t xml:space="preserve"> Регионса либӧ муниципалитеткостса тöдчанлуна автомашина туйяслысь техническöй инвентаризуйтöм нуöдöм</t>
  </si>
  <si>
    <t>3150322</t>
  </si>
  <si>
    <t>244,
851</t>
  </si>
  <si>
    <t xml:space="preserve"> 3 Уджтасув</t>
  </si>
  <si>
    <t>Канму уджтаслысь олöмö пöртан условиеяс лöсьöдöм</t>
  </si>
  <si>
    <t xml:space="preserve">Уджтасув кывкутысь вӧчысь
Коми Республикаса туй агентство
</t>
  </si>
  <si>
    <t>Содтӧд вӧчысь
 Коми Республикаса техническӧй дӧзьӧр служба</t>
  </si>
  <si>
    <t>3.1. мог</t>
  </si>
  <si>
    <t xml:space="preserve">Уджтас мероприятиеяс збыльмöдöмöн веськöдлöмсö могмöдöм </t>
  </si>
  <si>
    <t xml:space="preserve"> 3.1.1. Шӧр мероприятие
</t>
  </si>
  <si>
    <t>Коми Республикаса канму власьт органъясӧн, Коми Республикаса Юралысьӧн либӧ  Коми Республикаса Веськӧдлан котырӧн лӧсьӧдӧм  Коми Республикаса канму  власьт  органъясӧн индӧм функцияяслӧн гӧгӧртасын юрнуӧдӧм да веськӧдлӧм</t>
  </si>
  <si>
    <t>0020400,
4520400</t>
  </si>
  <si>
    <t xml:space="preserve">121,
122,
242,
244,
831,
852 </t>
  </si>
  <si>
    <t>0113</t>
  </si>
  <si>
    <t>0700401</t>
  </si>
  <si>
    <t>870</t>
  </si>
  <si>
    <t>0920300</t>
  </si>
  <si>
    <t>Коми Республикаса техническӧй дӧзьӧр служба</t>
  </si>
  <si>
    <t>841</t>
  </si>
  <si>
    <t>0412</t>
  </si>
  <si>
    <t>121,
122,
242,
244</t>
  </si>
  <si>
    <t xml:space="preserve"> 3.1.2. Шӧр мероприятие
</t>
  </si>
  <si>
    <t>Туй овмӧс да транспорт гӧгӧртасын канму корӧмъяс иналӧмсӧ могмӧдӧм</t>
  </si>
  <si>
    <t>3.2. мог</t>
  </si>
  <si>
    <t>Уджтаслысь мероприятиеяс збыльмӧдӧмсӧ могмӧдӧм Коми Республикаын меставывса асвеськӧдлан органъяслӧн участвуйтӧмӧн</t>
  </si>
  <si>
    <t xml:space="preserve">Основное мероприятие 3.2.1.
</t>
  </si>
  <si>
    <t>Организация взаимодействия с органами местного самоуправления Республики Коми по реализации мероприятий Программы</t>
  </si>
  <si>
    <t>".</t>
  </si>
</sst>
</file>

<file path=xl/styles.xml><?xml version="1.0" encoding="utf-8"?>
<styleSheet xmlns="http://schemas.openxmlformats.org/spreadsheetml/2006/main">
  <numFmts count="4">
    <numFmt numFmtId="164" formatCode="GENERAL"/>
    <numFmt numFmtId="165" formatCode="#,##0.0"/>
    <numFmt numFmtId="166" formatCode="#,##0.00"/>
    <numFmt numFmtId="167" formatCode="@"/>
  </numFmts>
  <fonts count="13">
    <font>
      <sz val="12"/>
      <color indexed="8"/>
      <name val="Times New Roman"/>
      <family val="2"/>
    </font>
    <font>
      <sz val="10"/>
      <name val="Arial"/>
      <family val="0"/>
    </font>
    <font>
      <sz val="12"/>
      <name val="Times New Roman"/>
      <family val="2"/>
    </font>
    <font>
      <b/>
      <sz val="11"/>
      <name val="Times New Roman"/>
      <family val="2"/>
    </font>
    <font>
      <b/>
      <sz val="10"/>
      <color indexed="8"/>
      <name val="Times New Roman"/>
      <family val="1"/>
    </font>
    <font>
      <sz val="9"/>
      <name val="Times New Roman"/>
      <family val="2"/>
    </font>
    <font>
      <sz val="9"/>
      <color indexed="8"/>
      <name val="Times New Roman"/>
      <family val="1"/>
    </font>
    <font>
      <sz val="10"/>
      <name val="Times New Roman"/>
      <family val="2"/>
    </font>
    <font>
      <b/>
      <sz val="9"/>
      <name val="Times New Roman"/>
      <family val="2"/>
    </font>
    <font>
      <b/>
      <sz val="12"/>
      <name val="Times New Roman"/>
      <family val="2"/>
    </font>
    <font>
      <b/>
      <sz val="10"/>
      <name val="Times New Roman"/>
      <family val="2"/>
    </font>
    <font>
      <sz val="10"/>
      <color indexed="8"/>
      <name val="Times New Roman"/>
      <family val="1"/>
    </font>
    <font>
      <sz val="8"/>
      <name val="Times New Roman"/>
      <family val="1"/>
    </font>
  </fonts>
  <fills count="2">
    <fill>
      <patternFill/>
    </fill>
    <fill>
      <patternFill patternType="gray125"/>
    </fill>
  </fills>
  <borders count="6">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4">
    <xf numFmtId="164" fontId="0" fillId="0" borderId="0" xfId="0" applyAlignment="1">
      <alignment/>
    </xf>
    <xf numFmtId="164" fontId="2" fillId="0" borderId="0" xfId="0" applyFont="1" applyFill="1" applyBorder="1" applyAlignment="1">
      <alignment/>
    </xf>
    <xf numFmtId="164" fontId="2" fillId="0" borderId="0" xfId="0" applyFont="1" applyFill="1" applyBorder="1" applyAlignment="1">
      <alignment horizontal="left"/>
    </xf>
    <xf numFmtId="164" fontId="2" fillId="0" borderId="0" xfId="0" applyFont="1" applyFill="1" applyBorder="1" applyAlignment="1">
      <alignment vertical="center"/>
    </xf>
    <xf numFmtId="164" fontId="2" fillId="0" borderId="0" xfId="0" applyFont="1" applyFill="1" applyBorder="1" applyAlignment="1">
      <alignment horizontal="center" vertical="center"/>
    </xf>
    <xf numFmtId="164" fontId="0" fillId="0" borderId="0" xfId="0" applyFont="1" applyFill="1" applyBorder="1" applyAlignment="1">
      <alignment horizontal="right" vertical="center" wrapText="1"/>
    </xf>
    <xf numFmtId="164" fontId="0" fillId="0" borderId="0" xfId="0" applyFont="1" applyFill="1" applyAlignment="1">
      <alignment vertical="center" wrapText="1"/>
    </xf>
    <xf numFmtId="164" fontId="0" fillId="0" borderId="0" xfId="0" applyFill="1" applyAlignment="1">
      <alignment vertical="top"/>
    </xf>
    <xf numFmtId="164" fontId="3" fillId="0" borderId="0" xfId="0" applyFont="1" applyFill="1" applyBorder="1" applyAlignment="1">
      <alignment horizontal="right" vertical="center"/>
    </xf>
    <xf numFmtId="164" fontId="3" fillId="0" borderId="0" xfId="0" applyFont="1" applyFill="1" applyBorder="1" applyAlignment="1">
      <alignment horizontal="center" vertical="center"/>
    </xf>
    <xf numFmtId="164" fontId="4" fillId="0" borderId="0" xfId="0" applyFont="1" applyFill="1" applyBorder="1" applyAlignment="1">
      <alignment horizontal="center" vertical="center" wrapText="1"/>
    </xf>
    <xf numFmtId="164" fontId="3" fillId="0" borderId="0" xfId="0" applyFont="1" applyFill="1" applyBorder="1" applyAlignment="1">
      <alignment horizontal="center" wrapText="1"/>
    </xf>
    <xf numFmtId="164" fontId="3" fillId="0" borderId="0" xfId="0"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6" fillId="0" borderId="1" xfId="0"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5" fillId="0" borderId="1" xfId="0" applyFont="1" applyFill="1" applyBorder="1" applyAlignment="1">
      <alignment horizontal="center" wrapText="1"/>
    </xf>
    <xf numFmtId="164" fontId="3" fillId="0" borderId="2" xfId="0" applyFont="1" applyFill="1" applyBorder="1" applyAlignment="1">
      <alignment vertical="top" wrapText="1"/>
    </xf>
    <xf numFmtId="164" fontId="3" fillId="0" borderId="3" xfId="0" applyFont="1" applyFill="1" applyBorder="1" applyAlignment="1">
      <alignment horizontal="left" vertical="center" wrapText="1"/>
    </xf>
    <xf numFmtId="164" fontId="8"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9" fillId="0" borderId="0" xfId="0" applyFont="1" applyFill="1" applyBorder="1" applyAlignment="1">
      <alignment/>
    </xf>
    <xf numFmtId="164" fontId="3" fillId="0" borderId="4" xfId="0" applyFont="1" applyFill="1" applyBorder="1" applyAlignment="1">
      <alignment vertical="top" wrapText="1"/>
    </xf>
    <xf numFmtId="164" fontId="5" fillId="0" borderId="3" xfId="0" applyFont="1" applyFill="1" applyBorder="1" applyAlignment="1">
      <alignment horizontal="left" vertical="center" wrapText="1"/>
    </xf>
    <xf numFmtId="165" fontId="5" fillId="0" borderId="1" xfId="0" applyNumberFormat="1" applyFont="1" applyFill="1" applyBorder="1" applyAlignment="1">
      <alignment horizontal="center" vertical="center" wrapText="1"/>
    </xf>
    <xf numFmtId="166" fontId="9" fillId="0" borderId="0" xfId="0" applyNumberFormat="1" applyFont="1" applyFill="1" applyBorder="1" applyAlignment="1">
      <alignment/>
    </xf>
    <xf numFmtId="164" fontId="8" fillId="0" borderId="4" xfId="0" applyFont="1" applyFill="1" applyBorder="1" applyAlignment="1">
      <alignment vertical="top" wrapText="1"/>
    </xf>
    <xf numFmtId="164" fontId="5" fillId="0" borderId="3" xfId="0" applyFont="1" applyFill="1" applyBorder="1" applyAlignment="1">
      <alignment horizontal="left" vertical="top" wrapText="1"/>
    </xf>
    <xf numFmtId="164" fontId="3" fillId="0" borderId="5" xfId="0" applyFont="1" applyFill="1" applyBorder="1" applyAlignment="1">
      <alignment vertical="top" wrapText="1"/>
    </xf>
    <xf numFmtId="164" fontId="8" fillId="0" borderId="5" xfId="0" applyFont="1" applyFill="1" applyBorder="1" applyAlignment="1">
      <alignment vertical="top" wrapText="1"/>
    </xf>
    <xf numFmtId="164" fontId="10" fillId="0" borderId="5" xfId="0" applyFont="1" applyFill="1" applyBorder="1" applyAlignment="1">
      <alignment vertical="top" wrapText="1"/>
    </xf>
    <xf numFmtId="164" fontId="11" fillId="0" borderId="5" xfId="0" applyFont="1" applyFill="1" applyBorder="1" applyAlignment="1">
      <alignment vertical="top" wrapText="1"/>
    </xf>
    <xf numFmtId="164" fontId="3" fillId="0" borderId="1" xfId="0" applyFont="1" applyFill="1" applyBorder="1" applyAlignment="1">
      <alignment horizontal="left" vertical="center" wrapText="1"/>
    </xf>
    <xf numFmtId="164"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4" fontId="10" fillId="0" borderId="0" xfId="0" applyFont="1" applyFill="1" applyBorder="1" applyAlignment="1">
      <alignment/>
    </xf>
    <xf numFmtId="164" fontId="5" fillId="0" borderId="1" xfId="0" applyFont="1" applyFill="1" applyBorder="1" applyAlignment="1">
      <alignment horizontal="left" vertical="center" wrapText="1"/>
    </xf>
    <xf numFmtId="164" fontId="8" fillId="0" borderId="1" xfId="0" applyFont="1" applyFill="1" applyBorder="1" applyAlignment="1">
      <alignment vertical="top" wrapText="1"/>
    </xf>
    <xf numFmtId="164" fontId="6" fillId="0" borderId="1" xfId="0" applyFont="1" applyFill="1" applyBorder="1" applyAlignment="1">
      <alignment vertical="top" wrapText="1"/>
    </xf>
    <xf numFmtId="164" fontId="8" fillId="0" borderId="1" xfId="0" applyFont="1" applyFill="1" applyBorder="1" applyAlignment="1">
      <alignment horizontal="left" vertical="top" wrapText="1"/>
    </xf>
    <xf numFmtId="165" fontId="8" fillId="0" borderId="1" xfId="0" applyNumberFormat="1" applyFont="1" applyFill="1" applyBorder="1" applyAlignment="1">
      <alignment horizontal="center" vertical="center" wrapText="1"/>
    </xf>
    <xf numFmtId="164" fontId="5" fillId="0" borderId="1" xfId="0" applyFont="1" applyFill="1" applyBorder="1" applyAlignment="1">
      <alignment vertical="top" wrapText="1"/>
    </xf>
    <xf numFmtId="164" fontId="5" fillId="0" borderId="1" xfId="0" applyFont="1" applyFill="1" applyBorder="1" applyAlignment="1">
      <alignment vertical="top" wrapText="1"/>
    </xf>
    <xf numFmtId="164" fontId="7" fillId="0" borderId="1" xfId="0" applyFont="1" applyFill="1" applyBorder="1" applyAlignment="1">
      <alignment vertical="top" wrapText="1"/>
    </xf>
    <xf numFmtId="167" fontId="5" fillId="0" borderId="1"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164" fontId="7" fillId="0" borderId="1" xfId="0" applyFont="1" applyFill="1" applyBorder="1" applyAlignment="1">
      <alignment horizontal="left" vertical="top" wrapText="1"/>
    </xf>
    <xf numFmtId="164" fontId="5" fillId="0" borderId="1" xfId="0" applyFont="1" applyFill="1" applyBorder="1" applyAlignment="1">
      <alignment horizontal="right" vertical="top" wrapText="1"/>
    </xf>
    <xf numFmtId="164" fontId="5" fillId="0" borderId="1" xfId="0" applyFont="1" applyFill="1" applyBorder="1" applyAlignment="1">
      <alignment horizontal="left" vertical="top" wrapText="1"/>
    </xf>
    <xf numFmtId="164" fontId="7" fillId="0" borderId="1" xfId="0" applyFont="1" applyFill="1" applyBorder="1" applyAlignment="1">
      <alignment horizontal="left" vertical="top" wrapText="1"/>
    </xf>
    <xf numFmtId="164" fontId="6" fillId="0" borderId="1" xfId="0" applyFont="1" applyFill="1" applyBorder="1" applyAlignment="1">
      <alignment horizontal="left" vertical="top" wrapText="1"/>
    </xf>
    <xf numFmtId="164" fontId="7" fillId="0" borderId="1" xfId="0" applyFont="1" applyFill="1" applyBorder="1" applyAlignment="1">
      <alignment horizontal="justify" vertical="top" wrapText="1"/>
    </xf>
    <xf numFmtId="164" fontId="5" fillId="0" borderId="1" xfId="0" applyFont="1" applyFill="1" applyBorder="1" applyAlignment="1">
      <alignment horizontal="left" vertical="top" wrapText="1"/>
    </xf>
    <xf numFmtId="164" fontId="12" fillId="0" borderId="1" xfId="0" applyFont="1" applyFill="1" applyBorder="1" applyAlignment="1">
      <alignment vertical="top" wrapText="1"/>
    </xf>
    <xf numFmtId="167" fontId="7" fillId="0" borderId="1" xfId="0" applyNumberFormat="1" applyFont="1" applyFill="1" applyBorder="1" applyAlignment="1">
      <alignment horizontal="justify" vertical="top" wrapText="1"/>
    </xf>
    <xf numFmtId="164" fontId="10" fillId="0" borderId="1" xfId="0" applyFont="1" applyFill="1" applyBorder="1" applyAlignment="1">
      <alignment horizontal="left" vertical="top" wrapText="1"/>
    </xf>
    <xf numFmtId="164" fontId="10" fillId="0" borderId="1" xfId="0" applyFont="1" applyFill="1" applyBorder="1" applyAlignment="1">
      <alignment horizontal="justify" vertical="top" wrapText="1"/>
    </xf>
    <xf numFmtId="164" fontId="10" fillId="0" borderId="2" xfId="0" applyFont="1" applyFill="1" applyBorder="1" applyAlignment="1">
      <alignment horizontal="left" vertical="top" wrapText="1"/>
    </xf>
    <xf numFmtId="164" fontId="10" fillId="0" borderId="4" xfId="0" applyFont="1" applyFill="1" applyBorder="1" applyAlignment="1">
      <alignment horizontal="left" vertical="top" wrapText="1"/>
    </xf>
    <xf numFmtId="164" fontId="10" fillId="0" borderId="5" xfId="0" applyFont="1" applyFill="1" applyBorder="1" applyAlignment="1">
      <alignment horizontal="left" vertical="top" wrapText="1"/>
    </xf>
    <xf numFmtId="167" fontId="10" fillId="0" borderId="1" xfId="0" applyNumberFormat="1" applyFont="1" applyFill="1" applyBorder="1" applyAlignment="1">
      <alignment horizontal="justify" vertical="top" wrapText="1"/>
    </xf>
    <xf numFmtId="167" fontId="5" fillId="0" borderId="1" xfId="0" applyNumberFormat="1" applyFont="1" applyFill="1" applyBorder="1" applyAlignment="1">
      <alignment vertical="top" wrapText="1"/>
    </xf>
    <xf numFmtId="167" fontId="5" fillId="0" borderId="1" xfId="0" applyNumberFormat="1" applyFont="1" applyFill="1" applyBorder="1" applyAlignment="1">
      <alignment vertical="top" wrapText="1"/>
    </xf>
    <xf numFmtId="167" fontId="8" fillId="0" borderId="1" xfId="0" applyNumberFormat="1" applyFont="1" applyFill="1" applyBorder="1" applyAlignment="1">
      <alignment horizontal="justify" vertical="top" wrapText="1"/>
    </xf>
    <xf numFmtId="167" fontId="8" fillId="0" borderId="1" xfId="0" applyNumberFormat="1" applyFont="1" applyFill="1" applyBorder="1" applyAlignment="1">
      <alignment horizontal="left" vertical="top" wrapText="1"/>
    </xf>
    <xf numFmtId="164" fontId="5" fillId="0" borderId="1" xfId="0" applyFont="1" applyFill="1" applyBorder="1" applyAlignment="1">
      <alignment vertical="center" wrapText="1"/>
    </xf>
    <xf numFmtId="164" fontId="5" fillId="0" borderId="5" xfId="0" applyFont="1" applyFill="1" applyBorder="1" applyAlignment="1">
      <alignment vertical="top" wrapText="1"/>
    </xf>
    <xf numFmtId="164" fontId="5" fillId="0" borderId="5" xfId="0" applyFont="1" applyFill="1" applyBorder="1" applyAlignment="1">
      <alignment vertical="center" wrapText="1"/>
    </xf>
    <xf numFmtId="164" fontId="5" fillId="0" borderId="5" xfId="0" applyFont="1" applyFill="1" applyBorder="1" applyAlignment="1">
      <alignment horizontal="left" vertical="top" wrapText="1"/>
    </xf>
    <xf numFmtId="165" fontId="5"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left" vertical="top" wrapText="1"/>
    </xf>
    <xf numFmtId="164" fontId="5" fillId="0" borderId="2" xfId="0" applyFont="1" applyFill="1" applyBorder="1" applyAlignment="1">
      <alignment vertical="top" wrapText="1"/>
    </xf>
    <xf numFmtId="167" fontId="5" fillId="0" borderId="2" xfId="0" applyNumberFormat="1" applyFont="1" applyFill="1" applyBorder="1" applyAlignment="1">
      <alignment horizontal="left" vertical="top" wrapText="1"/>
    </xf>
    <xf numFmtId="164" fontId="10" fillId="0" borderId="2" xfId="0" applyFont="1" applyFill="1" applyBorder="1" applyAlignment="1">
      <alignment vertical="top" wrapText="1"/>
    </xf>
    <xf numFmtId="166" fontId="8" fillId="0" borderId="0" xfId="0" applyNumberFormat="1" applyFont="1" applyFill="1" applyBorder="1" applyAlignment="1">
      <alignment horizontal="center" vertical="center" wrapText="1"/>
    </xf>
    <xf numFmtId="167" fontId="8" fillId="0" borderId="5" xfId="0" applyNumberFormat="1" applyFont="1" applyFill="1" applyBorder="1" applyAlignment="1">
      <alignment horizontal="left" vertical="top" wrapText="1"/>
    </xf>
    <xf numFmtId="164" fontId="6" fillId="0" borderId="2" xfId="0" applyFont="1" applyFill="1" applyBorder="1" applyAlignment="1">
      <alignment vertical="top" wrapText="1"/>
    </xf>
    <xf numFmtId="164" fontId="5" fillId="0" borderId="2" xfId="0" applyFont="1" applyFill="1" applyBorder="1" applyAlignment="1">
      <alignment horizontal="left" vertical="top" wrapText="1"/>
    </xf>
    <xf numFmtId="164" fontId="5" fillId="0" borderId="4" xfId="0" applyFont="1" applyFill="1" applyBorder="1" applyAlignment="1">
      <alignment horizontal="left" vertical="top" wrapText="1"/>
    </xf>
    <xf numFmtId="164" fontId="2" fillId="0" borderId="1" xfId="0" applyFont="1" applyFill="1" applyBorder="1" applyAlignment="1">
      <alignment vertical="center"/>
    </xf>
    <xf numFmtId="164" fontId="2" fillId="0" borderId="1" xfId="0" applyFont="1" applyFill="1" applyBorder="1" applyAlignment="1">
      <alignment horizontal="left"/>
    </xf>
    <xf numFmtId="164" fontId="2" fillId="0" borderId="1" xfId="0" applyFont="1" applyFill="1" applyBorder="1" applyAlignment="1">
      <alignment horizontal="center" vertical="center"/>
    </xf>
    <xf numFmtId="164" fontId="2" fillId="0" borderId="0" xfId="0"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9"/>
  <sheetViews>
    <sheetView tabSelected="1" zoomScale="89" zoomScaleNormal="89" workbookViewId="0" topLeftCell="A96">
      <selection activeCell="A1" sqref="A1"/>
    </sheetView>
  </sheetViews>
  <sheetFormatPr defaultColWidth="9.00390625" defaultRowHeight="15.75" outlineLevelRow="1"/>
  <cols>
    <col min="1" max="1" width="15.00390625" style="1" customWidth="1"/>
    <col min="2" max="2" width="37.25390625" style="1" customWidth="1"/>
    <col min="3" max="3" width="20.50390625" style="2" customWidth="1"/>
    <col min="4" max="4" width="6.00390625" style="3" customWidth="1"/>
    <col min="5" max="5" width="8.125" style="3" customWidth="1"/>
    <col min="6" max="7" width="9.00390625" style="3" customWidth="1"/>
    <col min="8" max="8" width="12.25390625" style="4" customWidth="1"/>
    <col min="9" max="9" width="12.625" style="4" customWidth="1"/>
    <col min="10" max="11" width="12.25390625" style="4" customWidth="1"/>
    <col min="12" max="12" width="14.25390625" style="4" customWidth="1"/>
    <col min="13" max="13" width="12.00390625" style="1" customWidth="1"/>
    <col min="14" max="16384" width="9.00390625" style="1" customWidth="1"/>
  </cols>
  <sheetData>
    <row r="1" spans="1:13" s="7" customFormat="1" ht="120" customHeight="1">
      <c r="A1" s="5" t="s">
        <v>0</v>
      </c>
      <c r="B1" s="5"/>
      <c r="C1" s="5"/>
      <c r="D1" s="5"/>
      <c r="E1" s="5"/>
      <c r="F1" s="5"/>
      <c r="G1" s="5"/>
      <c r="H1" s="5"/>
      <c r="I1" s="5"/>
      <c r="J1" s="5"/>
      <c r="K1" s="5"/>
      <c r="L1" s="5"/>
      <c r="M1" s="6"/>
    </row>
    <row r="2" ht="15.75">
      <c r="L2" s="8" t="s">
        <v>1</v>
      </c>
    </row>
    <row r="3" spans="1:12" ht="15.75">
      <c r="A3" s="8"/>
      <c r="B3" s="8"/>
      <c r="C3" s="8"/>
      <c r="D3" s="8"/>
      <c r="E3" s="8"/>
      <c r="F3" s="8"/>
      <c r="G3" s="8"/>
      <c r="H3" s="8"/>
      <c r="I3" s="8"/>
      <c r="J3" s="8"/>
      <c r="K3" s="8"/>
      <c r="L3" s="9"/>
    </row>
    <row r="4" spans="1:12" ht="15.75" customHeight="1">
      <c r="A4" s="10" t="s">
        <v>2</v>
      </c>
      <c r="B4" s="10"/>
      <c r="C4" s="10"/>
      <c r="D4" s="10"/>
      <c r="E4" s="10"/>
      <c r="F4" s="10"/>
      <c r="G4" s="10"/>
      <c r="H4" s="10"/>
      <c r="I4" s="10"/>
      <c r="J4" s="10"/>
      <c r="K4" s="10"/>
      <c r="L4" s="10"/>
    </row>
    <row r="5" spans="1:12" ht="15.75">
      <c r="A5" s="11"/>
      <c r="B5" s="11"/>
      <c r="C5" s="11"/>
      <c r="D5" s="11"/>
      <c r="E5" s="11"/>
      <c r="F5" s="11"/>
      <c r="G5" s="11"/>
      <c r="H5" s="11"/>
      <c r="I5" s="11"/>
      <c r="J5" s="11"/>
      <c r="K5" s="11"/>
      <c r="L5" s="12"/>
    </row>
    <row r="6" spans="1:12" ht="15" customHeight="1">
      <c r="A6" s="13" t="s">
        <v>3</v>
      </c>
      <c r="B6" s="14" t="s">
        <v>4</v>
      </c>
      <c r="C6" s="13" t="s">
        <v>5</v>
      </c>
      <c r="D6" s="13" t="s">
        <v>6</v>
      </c>
      <c r="E6" s="13"/>
      <c r="F6" s="13"/>
      <c r="G6" s="13"/>
      <c r="H6" s="13" t="s">
        <v>7</v>
      </c>
      <c r="I6" s="13"/>
      <c r="J6" s="13"/>
      <c r="K6" s="13"/>
      <c r="L6" s="13"/>
    </row>
    <row r="7" spans="1:12" ht="65.25" customHeight="1">
      <c r="A7" s="13"/>
      <c r="B7" s="13"/>
      <c r="C7" s="13"/>
      <c r="D7" s="15" t="s">
        <v>8</v>
      </c>
      <c r="E7" s="15" t="s">
        <v>9</v>
      </c>
      <c r="F7" s="15" t="s">
        <v>10</v>
      </c>
      <c r="G7" s="15" t="s">
        <v>11</v>
      </c>
      <c r="H7" s="15" t="s">
        <v>12</v>
      </c>
      <c r="I7" s="15" t="s">
        <v>13</v>
      </c>
      <c r="J7" s="15" t="s">
        <v>14</v>
      </c>
      <c r="K7" s="15" t="s">
        <v>15</v>
      </c>
      <c r="L7" s="15" t="s">
        <v>16</v>
      </c>
    </row>
    <row r="8" spans="1:12" ht="15.75">
      <c r="A8" s="16">
        <v>1</v>
      </c>
      <c r="B8" s="16">
        <v>2</v>
      </c>
      <c r="C8" s="13">
        <v>3</v>
      </c>
      <c r="D8" s="13">
        <v>4</v>
      </c>
      <c r="E8" s="13">
        <v>5</v>
      </c>
      <c r="F8" s="13">
        <v>6</v>
      </c>
      <c r="G8" s="13">
        <v>7</v>
      </c>
      <c r="H8" s="13">
        <v>8</v>
      </c>
      <c r="I8" s="13">
        <v>9</v>
      </c>
      <c r="J8" s="13">
        <v>10</v>
      </c>
      <c r="K8" s="13">
        <v>11</v>
      </c>
      <c r="L8" s="13">
        <v>12</v>
      </c>
    </row>
    <row r="9" spans="1:12" s="21" customFormat="1" ht="28.5" customHeight="1">
      <c r="A9" s="17" t="s">
        <v>17</v>
      </c>
      <c r="B9" s="17" t="s">
        <v>18</v>
      </c>
      <c r="C9" s="18" t="s">
        <v>16</v>
      </c>
      <c r="D9" s="19" t="s">
        <v>19</v>
      </c>
      <c r="E9" s="19" t="s">
        <v>19</v>
      </c>
      <c r="F9" s="19" t="s">
        <v>19</v>
      </c>
      <c r="G9" s="19" t="s">
        <v>19</v>
      </c>
      <c r="H9" s="20">
        <f>H11+H12+H13+H14+H15+H16</f>
        <v>9314005.3</v>
      </c>
      <c r="I9" s="20">
        <f>I11+I12+I13+I14+I15+I16</f>
        <v>5142643.800000001</v>
      </c>
      <c r="J9" s="20">
        <f>J11+J12+J13+J14+J15+J16</f>
        <v>4137935.8000000003</v>
      </c>
      <c r="K9" s="20">
        <f>K11+K12+K13+K14+K15+K16</f>
        <v>3999597.2</v>
      </c>
      <c r="L9" s="20">
        <f>L11+L12+L13+L14+L15+L16</f>
        <v>22594182.099999998</v>
      </c>
    </row>
    <row r="10" spans="1:12" s="21" customFormat="1" ht="16.5" customHeight="1" hidden="1" outlineLevel="1">
      <c r="A10" s="22"/>
      <c r="B10" s="22"/>
      <c r="C10" s="23" t="s">
        <v>20</v>
      </c>
      <c r="D10" s="19"/>
      <c r="E10" s="19" t="s">
        <v>19</v>
      </c>
      <c r="F10" s="19" t="s">
        <v>19</v>
      </c>
      <c r="G10" s="19" t="s">
        <v>19</v>
      </c>
      <c r="H10" s="24">
        <f>H17+H51+H96</f>
        <v>9314005.299999999</v>
      </c>
      <c r="I10" s="24">
        <f>I17+I51+I96</f>
        <v>5142643.800000001</v>
      </c>
      <c r="J10" s="24">
        <f>J17+J51+J96</f>
        <v>4137935.8000000003</v>
      </c>
      <c r="K10" s="24">
        <f>K17+K51+K96</f>
        <v>3999597.2</v>
      </c>
      <c r="L10" s="24">
        <f>SUM(H10:K10)</f>
        <v>22594182.1</v>
      </c>
    </row>
    <row r="11" spans="1:13" s="21" customFormat="1" ht="60.75" customHeight="1">
      <c r="A11" s="22"/>
      <c r="B11" s="22"/>
      <c r="C11" s="23" t="s">
        <v>21</v>
      </c>
      <c r="D11" s="13">
        <v>842</v>
      </c>
      <c r="E11" s="19" t="s">
        <v>19</v>
      </c>
      <c r="F11" s="19" t="s">
        <v>19</v>
      </c>
      <c r="G11" s="19" t="s">
        <v>19</v>
      </c>
      <c r="H11" s="20">
        <f>H19+H53+H98</f>
        <v>9082263.1</v>
      </c>
      <c r="I11" s="20">
        <f>I19+I53+I98</f>
        <v>4920669.300000001</v>
      </c>
      <c r="J11" s="20">
        <f>J19+J53+J98</f>
        <v>3916377.9</v>
      </c>
      <c r="K11" s="20">
        <f>K19+K53+K98</f>
        <v>3803917.2</v>
      </c>
      <c r="L11" s="20">
        <f>SUM(H11:K11)</f>
        <v>21723227.5</v>
      </c>
      <c r="M11" s="25"/>
    </row>
    <row r="12" spans="1:12" s="21" customFormat="1" ht="66.75" customHeight="1">
      <c r="A12" s="22"/>
      <c r="B12" s="22"/>
      <c r="C12" s="23" t="s">
        <v>22</v>
      </c>
      <c r="D12" s="13">
        <v>839</v>
      </c>
      <c r="E12" s="19" t="s">
        <v>19</v>
      </c>
      <c r="F12" s="19" t="s">
        <v>19</v>
      </c>
      <c r="G12" s="19" t="s">
        <v>19</v>
      </c>
      <c r="H12" s="20">
        <f>H20+H54</f>
        <v>209662.80000000002</v>
      </c>
      <c r="I12" s="20">
        <f>I20+I54</f>
        <v>198885.7</v>
      </c>
      <c r="J12" s="20">
        <f>J20+J54</f>
        <v>198885.7</v>
      </c>
      <c r="K12" s="20">
        <f>K20+K54</f>
        <v>173885.7</v>
      </c>
      <c r="L12" s="20">
        <f aca="true" t="shared" si="0" ref="L12:L42">SUM(H12:K12)</f>
        <v>781319.9000000001</v>
      </c>
    </row>
    <row r="13" spans="1:12" s="21" customFormat="1" ht="60" customHeight="1">
      <c r="A13" s="22"/>
      <c r="B13" s="22"/>
      <c r="C13" s="23" t="s">
        <v>23</v>
      </c>
      <c r="D13" s="13">
        <v>825</v>
      </c>
      <c r="E13" s="19" t="s">
        <v>19</v>
      </c>
      <c r="F13" s="19" t="s">
        <v>19</v>
      </c>
      <c r="G13" s="19" t="s">
        <v>19</v>
      </c>
      <c r="H13" s="20">
        <f>H55</f>
        <v>0</v>
      </c>
      <c r="I13" s="20">
        <f>I55</f>
        <v>2000</v>
      </c>
      <c r="J13" s="20">
        <f>J55</f>
        <v>1000</v>
      </c>
      <c r="K13" s="20">
        <f>K55</f>
        <v>0</v>
      </c>
      <c r="L13" s="20">
        <f t="shared" si="0"/>
        <v>3000</v>
      </c>
    </row>
    <row r="14" spans="1:12" s="21" customFormat="1" ht="41.25" customHeight="1">
      <c r="A14" s="22"/>
      <c r="B14" s="26"/>
      <c r="C14" s="27" t="s">
        <v>24</v>
      </c>
      <c r="D14" s="19">
        <v>806</v>
      </c>
      <c r="E14" s="19" t="s">
        <v>19</v>
      </c>
      <c r="F14" s="19" t="s">
        <v>19</v>
      </c>
      <c r="G14" s="19" t="s">
        <v>19</v>
      </c>
      <c r="H14" s="20"/>
      <c r="I14" s="20"/>
      <c r="J14" s="20"/>
      <c r="K14" s="20"/>
      <c r="L14" s="20">
        <f t="shared" si="0"/>
        <v>0</v>
      </c>
    </row>
    <row r="15" spans="1:12" s="21" customFormat="1" ht="40.5" customHeight="1">
      <c r="A15" s="22"/>
      <c r="B15" s="26"/>
      <c r="C15" s="27" t="s">
        <v>25</v>
      </c>
      <c r="D15" s="19">
        <v>837</v>
      </c>
      <c r="E15" s="19" t="s">
        <v>19</v>
      </c>
      <c r="F15" s="19" t="s">
        <v>19</v>
      </c>
      <c r="G15" s="19" t="s">
        <v>19</v>
      </c>
      <c r="H15" s="20"/>
      <c r="I15" s="20"/>
      <c r="J15" s="20"/>
      <c r="K15" s="20"/>
      <c r="L15" s="20">
        <f t="shared" si="0"/>
        <v>0</v>
      </c>
    </row>
    <row r="16" spans="1:12" s="21" customFormat="1" ht="42" customHeight="1">
      <c r="A16" s="28"/>
      <c r="B16" s="29"/>
      <c r="C16" s="27" t="s">
        <v>26</v>
      </c>
      <c r="D16" s="19">
        <v>841</v>
      </c>
      <c r="E16" s="19" t="s">
        <v>19</v>
      </c>
      <c r="F16" s="19" t="s">
        <v>19</v>
      </c>
      <c r="G16" s="19" t="s">
        <v>19</v>
      </c>
      <c r="H16" s="20">
        <f>H105</f>
        <v>22079.4</v>
      </c>
      <c r="I16" s="20">
        <f>I105</f>
        <v>21088.8</v>
      </c>
      <c r="J16" s="20">
        <f>J105</f>
        <v>21672.2</v>
      </c>
      <c r="K16" s="20">
        <f>K105</f>
        <v>21794.3</v>
      </c>
      <c r="L16" s="20">
        <f t="shared" si="0"/>
        <v>86634.70000000001</v>
      </c>
    </row>
    <row r="17" spans="1:12" s="35" customFormat="1" ht="37.5" customHeight="1">
      <c r="A17" s="30" t="s">
        <v>27</v>
      </c>
      <c r="B17" s="31" t="s">
        <v>28</v>
      </c>
      <c r="C17" s="32" t="s">
        <v>16</v>
      </c>
      <c r="D17" s="33" t="s">
        <v>19</v>
      </c>
      <c r="E17" s="33" t="s">
        <v>19</v>
      </c>
      <c r="F17" s="33" t="s">
        <v>19</v>
      </c>
      <c r="G17" s="33" t="s">
        <v>19</v>
      </c>
      <c r="H17" s="34">
        <f>H19+H20</f>
        <v>8866727.399999999</v>
      </c>
      <c r="I17" s="34">
        <f>I19+I20</f>
        <v>4720511.2</v>
      </c>
      <c r="J17" s="34">
        <f>J19+J20</f>
        <v>3698368.7</v>
      </c>
      <c r="K17" s="34">
        <f>K19+K20</f>
        <v>3568084.1</v>
      </c>
      <c r="L17" s="20">
        <f t="shared" si="0"/>
        <v>20853691.4</v>
      </c>
    </row>
    <row r="18" spans="1:12" s="35" customFormat="1" ht="18.75" customHeight="1" hidden="1" outlineLevel="1">
      <c r="A18" s="30"/>
      <c r="B18" s="30"/>
      <c r="C18" s="36" t="s">
        <v>29</v>
      </c>
      <c r="D18" s="33"/>
      <c r="E18" s="33" t="s">
        <v>19</v>
      </c>
      <c r="F18" s="33" t="s">
        <v>19</v>
      </c>
      <c r="G18" s="33" t="s">
        <v>19</v>
      </c>
      <c r="H18" s="24">
        <f>H21+H36+H46</f>
        <v>8866727.399999999</v>
      </c>
      <c r="I18" s="24">
        <f>I21+I36+I46</f>
        <v>4720511.2</v>
      </c>
      <c r="J18" s="24">
        <f>J21+J36+J46</f>
        <v>3698368.7</v>
      </c>
      <c r="K18" s="24">
        <f>K21+K36+K46</f>
        <v>3568084.1</v>
      </c>
      <c r="L18" s="24">
        <f>SUM(H18:K18)</f>
        <v>20853691.4</v>
      </c>
    </row>
    <row r="19" spans="1:12" s="35" customFormat="1" ht="57.75" customHeight="1">
      <c r="A19" s="30"/>
      <c r="B19" s="30"/>
      <c r="C19" s="36" t="s">
        <v>30</v>
      </c>
      <c r="D19" s="13">
        <v>842</v>
      </c>
      <c r="E19" s="33" t="s">
        <v>19</v>
      </c>
      <c r="F19" s="33" t="s">
        <v>19</v>
      </c>
      <c r="G19" s="33" t="s">
        <v>19</v>
      </c>
      <c r="H19" s="34">
        <f>H22+H26+H27+H37+H41</f>
        <v>8849833.299999999</v>
      </c>
      <c r="I19" s="34">
        <f>I22+I26+I27+I37+I41</f>
        <v>4693711.2</v>
      </c>
      <c r="J19" s="34">
        <f>J22+J26+J27+J37+J41</f>
        <v>3671568.7</v>
      </c>
      <c r="K19" s="34">
        <f>K22+K26+K27+K37+K41</f>
        <v>3566284.1</v>
      </c>
      <c r="L19" s="20">
        <f t="shared" si="0"/>
        <v>20781397.299999997</v>
      </c>
    </row>
    <row r="20" spans="1:12" s="35" customFormat="1" ht="68.25" customHeight="1">
      <c r="A20" s="30"/>
      <c r="B20" s="30"/>
      <c r="C20" s="23" t="s">
        <v>31</v>
      </c>
      <c r="D20" s="13">
        <v>839</v>
      </c>
      <c r="E20" s="33" t="s">
        <v>19</v>
      </c>
      <c r="F20" s="33" t="s">
        <v>19</v>
      </c>
      <c r="G20" s="33" t="s">
        <v>19</v>
      </c>
      <c r="H20" s="34">
        <f>H35+H44</f>
        <v>16894.1</v>
      </c>
      <c r="I20" s="34">
        <f>I35+I44</f>
        <v>26800</v>
      </c>
      <c r="J20" s="34">
        <f>J35+J44</f>
        <v>26800</v>
      </c>
      <c r="K20" s="34">
        <f>K35+K44</f>
        <v>1800</v>
      </c>
      <c r="L20" s="20">
        <f t="shared" si="0"/>
        <v>72294.1</v>
      </c>
    </row>
    <row r="21" spans="1:12" s="21" customFormat="1" ht="37.5" customHeight="1">
      <c r="A21" s="37" t="s">
        <v>32</v>
      </c>
      <c r="B21" s="38" t="s">
        <v>33</v>
      </c>
      <c r="C21" s="39"/>
      <c r="D21" s="19"/>
      <c r="E21" s="19"/>
      <c r="F21" s="19"/>
      <c r="G21" s="19"/>
      <c r="H21" s="40">
        <f>H22+H26+H27+H34+H35</f>
        <v>6734191.3999999985</v>
      </c>
      <c r="I21" s="40">
        <f>I22+I26+I27+I34+I35</f>
        <v>2817565.2</v>
      </c>
      <c r="J21" s="40">
        <f>J22+J26+J27+J34+J35</f>
        <v>2733674.1</v>
      </c>
      <c r="K21" s="40">
        <f>K22+K26+K27+K34+K35</f>
        <v>2324736.2</v>
      </c>
      <c r="L21" s="40">
        <f t="shared" si="0"/>
        <v>14610166.899999999</v>
      </c>
    </row>
    <row r="22" spans="1:13" ht="41.25" customHeight="1">
      <c r="A22" s="41" t="s">
        <v>34</v>
      </c>
      <c r="B22" s="42" t="s">
        <v>35</v>
      </c>
      <c r="C22" s="43" t="s">
        <v>36</v>
      </c>
      <c r="D22" s="13">
        <v>842</v>
      </c>
      <c r="E22" s="44"/>
      <c r="F22" s="44"/>
      <c r="G22" s="44"/>
      <c r="H22" s="24">
        <f>SUM(H23:H25)</f>
        <v>5733555.899999999</v>
      </c>
      <c r="I22" s="24">
        <f>SUM(I23:I25)</f>
        <v>1901501.4000000001</v>
      </c>
      <c r="J22" s="24">
        <f>SUM(J23:J25)</f>
        <v>1937042.6</v>
      </c>
      <c r="K22" s="24">
        <f>SUM(K23:K25)</f>
        <v>1519593.6</v>
      </c>
      <c r="L22" s="24">
        <f t="shared" si="0"/>
        <v>11091693.5</v>
      </c>
      <c r="M22" s="45"/>
    </row>
    <row r="23" spans="1:13" ht="39.75" customHeight="1">
      <c r="A23" s="41"/>
      <c r="B23" s="41" t="s">
        <v>37</v>
      </c>
      <c r="C23" s="41"/>
      <c r="D23" s="44">
        <v>842</v>
      </c>
      <c r="E23" s="44" t="s">
        <v>38</v>
      </c>
      <c r="F23" s="44" t="s">
        <v>39</v>
      </c>
      <c r="G23" s="44" t="s">
        <v>40</v>
      </c>
      <c r="H23" s="24">
        <f>4417751.1</f>
        <v>4417751.1</v>
      </c>
      <c r="I23" s="24">
        <f>493907.1+84989.3+16870.4+9595</f>
        <v>605361.8</v>
      </c>
      <c r="J23" s="24">
        <f>791402.6-50000</f>
        <v>741402.6</v>
      </c>
      <c r="K23" s="24">
        <f>373012.1-25000</f>
        <v>348012.1</v>
      </c>
      <c r="L23" s="24">
        <f t="shared" si="0"/>
        <v>6112527.6</v>
      </c>
      <c r="M23" s="45"/>
    </row>
    <row r="24" spans="1:13" ht="42" customHeight="1">
      <c r="A24" s="41"/>
      <c r="B24" s="43" t="s">
        <v>41</v>
      </c>
      <c r="C24" s="41"/>
      <c r="D24" s="44">
        <v>842</v>
      </c>
      <c r="E24" s="44" t="s">
        <v>38</v>
      </c>
      <c r="F24" s="44" t="s">
        <v>39</v>
      </c>
      <c r="G24" s="44" t="s">
        <v>42</v>
      </c>
      <c r="H24" s="24">
        <f>1377167.6-76914.6</f>
        <v>1300253</v>
      </c>
      <c r="I24" s="24">
        <f>1077816-57296.8+292490.4-16870</f>
        <v>1296139.6</v>
      </c>
      <c r="J24" s="24">
        <f>1277840-82200</f>
        <v>1195640</v>
      </c>
      <c r="K24" s="24">
        <f>1257281.5-85700</f>
        <v>1171581.5</v>
      </c>
      <c r="L24" s="24">
        <f t="shared" si="0"/>
        <v>4963614.1</v>
      </c>
      <c r="M24" s="45"/>
    </row>
    <row r="25" spans="1:13" ht="44.25" customHeight="1">
      <c r="A25" s="41"/>
      <c r="B25" s="43" t="s">
        <v>43</v>
      </c>
      <c r="C25" s="41"/>
      <c r="D25" s="44">
        <v>842</v>
      </c>
      <c r="E25" s="44" t="s">
        <v>38</v>
      </c>
      <c r="F25" s="44" t="s">
        <v>44</v>
      </c>
      <c r="G25" s="44" t="s">
        <v>42</v>
      </c>
      <c r="H25" s="24">
        <f>15551.8</f>
        <v>15551.8</v>
      </c>
      <c r="I25" s="24">
        <v>0</v>
      </c>
      <c r="J25" s="24">
        <v>0</v>
      </c>
      <c r="K25" s="24">
        <v>0</v>
      </c>
      <c r="L25" s="24">
        <f t="shared" si="0"/>
        <v>15551.8</v>
      </c>
      <c r="M25" s="45"/>
    </row>
    <row r="26" spans="1:12" ht="57" customHeight="1">
      <c r="A26" s="41" t="s">
        <v>45</v>
      </c>
      <c r="B26" s="42" t="s">
        <v>46</v>
      </c>
      <c r="C26" s="46" t="s">
        <v>36</v>
      </c>
      <c r="D26" s="44">
        <v>842</v>
      </c>
      <c r="E26" s="44" t="s">
        <v>38</v>
      </c>
      <c r="F26" s="44" t="s">
        <v>39</v>
      </c>
      <c r="G26" s="44" t="s">
        <v>42</v>
      </c>
      <c r="H26" s="24">
        <f>76914.6</f>
        <v>76914.6</v>
      </c>
      <c r="I26" s="24">
        <f>57296.8</f>
        <v>57296.8</v>
      </c>
      <c r="J26" s="24">
        <f>82200</f>
        <v>82200</v>
      </c>
      <c r="K26" s="24">
        <f>85700</f>
        <v>85700</v>
      </c>
      <c r="L26" s="24">
        <f t="shared" si="0"/>
        <v>302111.4</v>
      </c>
    </row>
    <row r="27" spans="1:12" ht="66" customHeight="1">
      <c r="A27" s="41" t="s">
        <v>47</v>
      </c>
      <c r="B27" s="41" t="s">
        <v>48</v>
      </c>
      <c r="C27" s="46" t="s">
        <v>36</v>
      </c>
      <c r="D27" s="13">
        <v>842</v>
      </c>
      <c r="E27" s="44"/>
      <c r="F27" s="44"/>
      <c r="G27" s="44"/>
      <c r="H27" s="24">
        <f>H28+H29+H30+H31+H32+H33</f>
        <v>921826.8</v>
      </c>
      <c r="I27" s="24">
        <f>I28+I29+I30+I31+I32+I33</f>
        <v>856967</v>
      </c>
      <c r="J27" s="24">
        <f>J28+J29+J30+J31+J32+J33</f>
        <v>712631.5</v>
      </c>
      <c r="K27" s="24">
        <f>K28+K29+K30+K31+K32+K33</f>
        <v>717642.6</v>
      </c>
      <c r="L27" s="24">
        <f t="shared" si="0"/>
        <v>3209067.9000000004</v>
      </c>
    </row>
    <row r="28" spans="1:12" ht="54.75" customHeight="1">
      <c r="A28" s="47"/>
      <c r="B28" s="48" t="s">
        <v>49</v>
      </c>
      <c r="C28" s="48"/>
      <c r="D28" s="13">
        <v>842</v>
      </c>
      <c r="E28" s="44" t="s">
        <v>38</v>
      </c>
      <c r="F28" s="44" t="s">
        <v>50</v>
      </c>
      <c r="G28" s="44" t="s">
        <v>51</v>
      </c>
      <c r="H28" s="24">
        <v>37725.2</v>
      </c>
      <c r="I28" s="24">
        <f>39800.1+6071.9</f>
        <v>45872</v>
      </c>
      <c r="J28" s="24">
        <f>41790.2+6375.8</f>
        <v>48166</v>
      </c>
      <c r="K28" s="24">
        <f>43881+6680</f>
        <v>50561</v>
      </c>
      <c r="L28" s="24">
        <f t="shared" si="0"/>
        <v>182324.2</v>
      </c>
    </row>
    <row r="29" spans="1:12" ht="43.5" customHeight="1">
      <c r="A29" s="47"/>
      <c r="B29" s="48" t="s">
        <v>52</v>
      </c>
      <c r="C29" s="48"/>
      <c r="D29" s="13">
        <v>842</v>
      </c>
      <c r="E29" s="44" t="s">
        <v>38</v>
      </c>
      <c r="F29" s="44" t="s">
        <v>53</v>
      </c>
      <c r="G29" s="44" t="s">
        <v>51</v>
      </c>
      <c r="H29" s="24">
        <v>136043.6</v>
      </c>
      <c r="I29" s="24">
        <f>143526+14642</f>
        <v>158168</v>
      </c>
      <c r="J29" s="24">
        <f>150702.3+15373.7</f>
        <v>166076</v>
      </c>
      <c r="K29" s="24">
        <f>158239+16142</f>
        <v>174381</v>
      </c>
      <c r="L29" s="24">
        <f t="shared" si="0"/>
        <v>634668.6</v>
      </c>
    </row>
    <row r="30" spans="1:12" ht="54.75" customHeight="1">
      <c r="A30" s="47"/>
      <c r="B30" s="48" t="s">
        <v>54</v>
      </c>
      <c r="C30" s="48"/>
      <c r="D30" s="13">
        <v>842</v>
      </c>
      <c r="E30" s="44" t="s">
        <v>38</v>
      </c>
      <c r="F30" s="44" t="s">
        <v>55</v>
      </c>
      <c r="G30" s="44" t="s">
        <v>51</v>
      </c>
      <c r="H30" s="24">
        <v>341808</v>
      </c>
      <c r="I30" s="24">
        <v>310000</v>
      </c>
      <c r="J30" s="24">
        <v>310000</v>
      </c>
      <c r="K30" s="24">
        <v>310000</v>
      </c>
      <c r="L30" s="24">
        <f t="shared" si="0"/>
        <v>1271808</v>
      </c>
    </row>
    <row r="31" spans="1:12" ht="45.75">
      <c r="A31" s="47"/>
      <c r="B31" s="49" t="s">
        <v>56</v>
      </c>
      <c r="C31" s="48"/>
      <c r="D31" s="13">
        <v>842</v>
      </c>
      <c r="E31" s="44" t="s">
        <v>38</v>
      </c>
      <c r="F31" s="44" t="s">
        <v>57</v>
      </c>
      <c r="G31" s="44" t="s">
        <v>51</v>
      </c>
      <c r="H31" s="24">
        <v>85000</v>
      </c>
      <c r="I31" s="24">
        <v>0</v>
      </c>
      <c r="J31" s="24">
        <v>0</v>
      </c>
      <c r="K31" s="24">
        <v>0</v>
      </c>
      <c r="L31" s="24">
        <f t="shared" si="0"/>
        <v>85000</v>
      </c>
    </row>
    <row r="32" spans="1:12" ht="57" customHeight="1">
      <c r="A32" s="47"/>
      <c r="B32" s="48" t="s">
        <v>58</v>
      </c>
      <c r="C32" s="48"/>
      <c r="D32" s="13">
        <v>842</v>
      </c>
      <c r="E32" s="44" t="s">
        <v>38</v>
      </c>
      <c r="F32" s="44" t="s">
        <v>59</v>
      </c>
      <c r="G32" s="44" t="s">
        <v>51</v>
      </c>
      <c r="H32" s="24">
        <v>160625</v>
      </c>
      <c r="I32" s="24">
        <f>171463.5</f>
        <v>171463.5</v>
      </c>
      <c r="J32" s="24">
        <v>0</v>
      </c>
      <c r="K32" s="24">
        <v>0</v>
      </c>
      <c r="L32" s="24">
        <f t="shared" si="0"/>
        <v>332088.5</v>
      </c>
    </row>
    <row r="33" spans="1:12" ht="93.75" customHeight="1">
      <c r="A33" s="47"/>
      <c r="B33" s="46" t="s">
        <v>60</v>
      </c>
      <c r="C33" s="48"/>
      <c r="D33" s="13">
        <v>842</v>
      </c>
      <c r="E33" s="44" t="s">
        <v>38</v>
      </c>
      <c r="F33" s="44" t="s">
        <v>61</v>
      </c>
      <c r="G33" s="44" t="s">
        <v>62</v>
      </c>
      <c r="H33" s="24">
        <v>160625</v>
      </c>
      <c r="I33" s="24">
        <f>171463.5</f>
        <v>171463.5</v>
      </c>
      <c r="J33" s="24">
        <f>188389.5</f>
        <v>188389.5</v>
      </c>
      <c r="K33" s="24">
        <f>182700.6</f>
        <v>182700.6</v>
      </c>
      <c r="L33" s="24">
        <f t="shared" si="0"/>
        <v>703178.6</v>
      </c>
    </row>
    <row r="34" spans="1:12" ht="48" hidden="1" outlineLevel="1">
      <c r="A34" s="41" t="s">
        <v>63</v>
      </c>
      <c r="B34" s="41" t="s">
        <v>64</v>
      </c>
      <c r="C34" s="48" t="s">
        <v>65</v>
      </c>
      <c r="D34" s="13"/>
      <c r="E34" s="13"/>
      <c r="F34" s="13"/>
      <c r="G34" s="13"/>
      <c r="H34" s="24"/>
      <c r="I34" s="24"/>
      <c r="J34" s="24"/>
      <c r="K34" s="24"/>
      <c r="L34" s="24">
        <f t="shared" si="0"/>
        <v>0</v>
      </c>
    </row>
    <row r="35" spans="1:12" ht="43.5">
      <c r="A35" s="41" t="s">
        <v>66</v>
      </c>
      <c r="B35" s="50" t="s">
        <v>67</v>
      </c>
      <c r="C35" s="48" t="s">
        <v>68</v>
      </c>
      <c r="D35" s="13">
        <v>839</v>
      </c>
      <c r="E35" s="44" t="s">
        <v>69</v>
      </c>
      <c r="F35" s="13">
        <v>3010311</v>
      </c>
      <c r="G35" s="13">
        <v>244</v>
      </c>
      <c r="H35" s="24">
        <v>1894.1</v>
      </c>
      <c r="I35" s="24">
        <v>1800</v>
      </c>
      <c r="J35" s="24">
        <v>1800</v>
      </c>
      <c r="K35" s="24">
        <v>1800</v>
      </c>
      <c r="L35" s="24">
        <f t="shared" si="0"/>
        <v>7294.1</v>
      </c>
    </row>
    <row r="36" spans="1:12" s="21" customFormat="1" ht="42.75" customHeight="1">
      <c r="A36" s="37" t="s">
        <v>70</v>
      </c>
      <c r="B36" s="51" t="s">
        <v>71</v>
      </c>
      <c r="C36" s="39"/>
      <c r="D36" s="19"/>
      <c r="E36" s="19"/>
      <c r="F36" s="19"/>
      <c r="G36" s="19"/>
      <c r="H36" s="40">
        <f>H37+H41+H44</f>
        <v>2132536</v>
      </c>
      <c r="I36" s="40">
        <f>I37+I41+I44</f>
        <v>1902946.0000000002</v>
      </c>
      <c r="J36" s="40">
        <f>J37+J41+J44</f>
        <v>964694.6</v>
      </c>
      <c r="K36" s="40">
        <f>K37+K41+K44</f>
        <v>1243347.9</v>
      </c>
      <c r="L36" s="40">
        <f>SUM(H36:K36)</f>
        <v>6243524.5</v>
      </c>
    </row>
    <row r="37" spans="1:12" ht="39.75" customHeight="1">
      <c r="A37" s="48" t="s">
        <v>72</v>
      </c>
      <c r="B37" s="52" t="s">
        <v>73</v>
      </c>
      <c r="C37" s="48" t="s">
        <v>36</v>
      </c>
      <c r="D37" s="13">
        <v>842</v>
      </c>
      <c r="E37" s="44"/>
      <c r="F37" s="44"/>
      <c r="G37" s="44"/>
      <c r="H37" s="24">
        <f>H38+H39+H40</f>
        <v>2107059</v>
      </c>
      <c r="I37" s="24">
        <f>I38+I39+I40</f>
        <v>1856816.3000000003</v>
      </c>
      <c r="J37" s="24">
        <f>J38+J39+J40</f>
        <v>841694.6</v>
      </c>
      <c r="K37" s="24">
        <f>K38+K39+K40</f>
        <v>1186347.9</v>
      </c>
      <c r="L37" s="24">
        <f t="shared" si="0"/>
        <v>5991917.800000001</v>
      </c>
    </row>
    <row r="38" spans="1:12" ht="29.25" customHeight="1">
      <c r="A38" s="48"/>
      <c r="B38" s="48"/>
      <c r="C38" s="48"/>
      <c r="D38" s="13">
        <v>842</v>
      </c>
      <c r="E38" s="44" t="s">
        <v>38</v>
      </c>
      <c r="F38" s="44" t="s">
        <v>74</v>
      </c>
      <c r="G38" s="44" t="s">
        <v>75</v>
      </c>
      <c r="H38" s="24">
        <f>1917460.9-9956-521</f>
        <v>1906983.9</v>
      </c>
      <c r="I38" s="24">
        <f>21160+1280881.3+19978.8+534767.1</f>
        <v>1856787.2000000002</v>
      </c>
      <c r="J38" s="24">
        <f>32534+809152.2</f>
        <v>841686.2</v>
      </c>
      <c r="K38" s="24">
        <f>72000+1114339.5</f>
        <v>1186339.5</v>
      </c>
      <c r="L38" s="24">
        <f t="shared" si="0"/>
        <v>5791796.800000001</v>
      </c>
    </row>
    <row r="39" spans="1:12" ht="29.25" customHeight="1">
      <c r="A39" s="48"/>
      <c r="B39" s="48"/>
      <c r="C39" s="48"/>
      <c r="D39" s="13">
        <v>842</v>
      </c>
      <c r="E39" s="44" t="s">
        <v>38</v>
      </c>
      <c r="F39" s="44" t="s">
        <v>74</v>
      </c>
      <c r="G39" s="44" t="s">
        <v>76</v>
      </c>
      <c r="H39" s="24">
        <v>75.1</v>
      </c>
      <c r="I39" s="24">
        <v>29.1</v>
      </c>
      <c r="J39" s="24">
        <v>8.4</v>
      </c>
      <c r="K39" s="24">
        <v>8.4</v>
      </c>
      <c r="L39" s="24">
        <f t="shared" si="0"/>
        <v>121</v>
      </c>
    </row>
    <row r="40" spans="1:12" ht="26.25" customHeight="1">
      <c r="A40" s="48"/>
      <c r="B40" s="48"/>
      <c r="C40" s="48"/>
      <c r="D40" s="13">
        <v>842</v>
      </c>
      <c r="E40" s="44" t="s">
        <v>38</v>
      </c>
      <c r="F40" s="44" t="s">
        <v>77</v>
      </c>
      <c r="G40" s="44" t="s">
        <v>75</v>
      </c>
      <c r="H40" s="24">
        <v>200000</v>
      </c>
      <c r="I40" s="24">
        <v>0</v>
      </c>
      <c r="J40" s="24">
        <v>0</v>
      </c>
      <c r="K40" s="24">
        <v>0</v>
      </c>
      <c r="L40" s="24">
        <f t="shared" si="0"/>
        <v>200000</v>
      </c>
    </row>
    <row r="41" spans="1:12" ht="39" customHeight="1">
      <c r="A41" s="41" t="s">
        <v>78</v>
      </c>
      <c r="B41" s="53" t="s">
        <v>79</v>
      </c>
      <c r="C41" s="48" t="s">
        <v>80</v>
      </c>
      <c r="D41" s="13">
        <v>842</v>
      </c>
      <c r="E41" s="44"/>
      <c r="F41" s="44"/>
      <c r="G41" s="44"/>
      <c r="H41" s="24">
        <f>H42+H43</f>
        <v>10477</v>
      </c>
      <c r="I41" s="24">
        <f>I42+I43</f>
        <v>21129.699999999997</v>
      </c>
      <c r="J41" s="24">
        <f>J42+J43</f>
        <v>98000</v>
      </c>
      <c r="K41" s="24">
        <f>K42+K43</f>
        <v>57000</v>
      </c>
      <c r="L41" s="24">
        <f t="shared" si="0"/>
        <v>186606.7</v>
      </c>
    </row>
    <row r="42" spans="1:12" ht="15.75">
      <c r="A42" s="41"/>
      <c r="B42" s="41"/>
      <c r="C42" s="48"/>
      <c r="D42" s="13">
        <v>842</v>
      </c>
      <c r="E42" s="44" t="s">
        <v>38</v>
      </c>
      <c r="F42" s="44" t="s">
        <v>39</v>
      </c>
      <c r="G42" s="44" t="s">
        <v>40</v>
      </c>
      <c r="H42" s="24">
        <v>0</v>
      </c>
      <c r="I42" s="24">
        <f>0</f>
        <v>0</v>
      </c>
      <c r="J42" s="24">
        <f>50000</f>
        <v>50000</v>
      </c>
      <c r="K42" s="24">
        <v>25000</v>
      </c>
      <c r="L42" s="24">
        <f t="shared" si="0"/>
        <v>75000</v>
      </c>
    </row>
    <row r="43" spans="1:12" ht="15.75">
      <c r="A43" s="41"/>
      <c r="B43" s="41"/>
      <c r="C43" s="48"/>
      <c r="D43" s="13">
        <v>842</v>
      </c>
      <c r="E43" s="44" t="s">
        <v>38</v>
      </c>
      <c r="F43" s="44" t="s">
        <v>74</v>
      </c>
      <c r="G43" s="44" t="s">
        <v>75</v>
      </c>
      <c r="H43" s="24">
        <f>9956+521</f>
        <v>10477</v>
      </c>
      <c r="I43" s="24">
        <f>4000+58000-200-40670.3</f>
        <v>21129.699999999997</v>
      </c>
      <c r="J43" s="24">
        <f>48000</f>
        <v>48000</v>
      </c>
      <c r="K43" s="24">
        <f>32000</f>
        <v>32000</v>
      </c>
      <c r="L43" s="24">
        <f>SUM(H43:K43)</f>
        <v>111606.7</v>
      </c>
    </row>
    <row r="44" spans="1:12" ht="48">
      <c r="A44" s="41" t="s">
        <v>81</v>
      </c>
      <c r="B44" s="42" t="s">
        <v>82</v>
      </c>
      <c r="C44" s="48" t="s">
        <v>68</v>
      </c>
      <c r="D44" s="13">
        <v>839</v>
      </c>
      <c r="E44" s="44" t="s">
        <v>69</v>
      </c>
      <c r="F44" s="44" t="s">
        <v>83</v>
      </c>
      <c r="G44" s="44" t="s">
        <v>84</v>
      </c>
      <c r="H44" s="24">
        <v>15000</v>
      </c>
      <c r="I44" s="24">
        <f>25000</f>
        <v>25000</v>
      </c>
      <c r="J44" s="24">
        <f>25000</f>
        <v>25000</v>
      </c>
      <c r="K44" s="24">
        <v>0</v>
      </c>
      <c r="L44" s="24">
        <f>SUM(H44:K44)</f>
        <v>65000</v>
      </c>
    </row>
    <row r="45" spans="1:12" ht="37.5" customHeight="1" hidden="1" outlineLevel="1">
      <c r="A45" s="41" t="s">
        <v>85</v>
      </c>
      <c r="B45" s="41" t="s">
        <v>86</v>
      </c>
      <c r="C45" s="48" t="s">
        <v>65</v>
      </c>
      <c r="D45" s="13"/>
      <c r="E45" s="13"/>
      <c r="F45" s="13"/>
      <c r="G45" s="13"/>
      <c r="H45" s="24">
        <v>0</v>
      </c>
      <c r="I45" s="24">
        <v>0</v>
      </c>
      <c r="J45" s="24">
        <v>0</v>
      </c>
      <c r="K45" s="24">
        <v>0</v>
      </c>
      <c r="L45" s="24">
        <f>SUM(H45:K45)</f>
        <v>0</v>
      </c>
    </row>
    <row r="46" spans="1:12" s="21" customFormat="1" ht="42" customHeight="1">
      <c r="A46" s="37" t="s">
        <v>87</v>
      </c>
      <c r="B46" s="54" t="s">
        <v>88</v>
      </c>
      <c r="C46" s="39"/>
      <c r="D46" s="19"/>
      <c r="E46" s="19"/>
      <c r="F46" s="19"/>
      <c r="G46" s="19"/>
      <c r="H46" s="40">
        <f>H47+H48+H49+H50</f>
        <v>0</v>
      </c>
      <c r="I46" s="40">
        <f>I47+I48+I49+I50</f>
        <v>0</v>
      </c>
      <c r="J46" s="40">
        <f>J47+J48+J49+J50</f>
        <v>0</v>
      </c>
      <c r="K46" s="40">
        <f>K47+K48+K49+K50</f>
        <v>0</v>
      </c>
      <c r="L46" s="40">
        <f>SUM(H46:K46)</f>
        <v>0</v>
      </c>
    </row>
    <row r="47" spans="1:12" ht="37.5" customHeight="1" hidden="1" outlineLevel="1">
      <c r="A47" s="41" t="s">
        <v>89</v>
      </c>
      <c r="B47" s="48" t="s">
        <v>90</v>
      </c>
      <c r="C47" s="48" t="s">
        <v>91</v>
      </c>
      <c r="D47" s="13"/>
      <c r="E47" s="13"/>
      <c r="F47" s="13"/>
      <c r="G47" s="13"/>
      <c r="H47" s="24"/>
      <c r="I47" s="24"/>
      <c r="J47" s="24"/>
      <c r="K47" s="24"/>
      <c r="L47" s="24">
        <f>SUM(H47:J47)</f>
        <v>0</v>
      </c>
    </row>
    <row r="48" spans="1:12" ht="36" hidden="1" outlineLevel="1">
      <c r="A48" s="41" t="s">
        <v>92</v>
      </c>
      <c r="B48" s="48" t="s">
        <v>93</v>
      </c>
      <c r="C48" s="48" t="s">
        <v>65</v>
      </c>
      <c r="D48" s="13"/>
      <c r="E48" s="13"/>
      <c r="F48" s="13"/>
      <c r="G48" s="13"/>
      <c r="H48" s="24"/>
      <c r="I48" s="24"/>
      <c r="J48" s="24"/>
      <c r="K48" s="24"/>
      <c r="L48" s="24">
        <f>SUM(H48:J48)</f>
        <v>0</v>
      </c>
    </row>
    <row r="49" spans="1:12" ht="36" hidden="1" outlineLevel="1">
      <c r="A49" s="41" t="s">
        <v>94</v>
      </c>
      <c r="B49" s="48" t="s">
        <v>95</v>
      </c>
      <c r="C49" s="48" t="s">
        <v>65</v>
      </c>
      <c r="D49" s="13"/>
      <c r="E49" s="13"/>
      <c r="F49" s="13"/>
      <c r="G49" s="13"/>
      <c r="H49" s="24"/>
      <c r="I49" s="24"/>
      <c r="J49" s="24"/>
      <c r="K49" s="24"/>
      <c r="L49" s="24">
        <f>SUM(H49:J49)</f>
        <v>0</v>
      </c>
    </row>
    <row r="50" spans="1:12" ht="22.5" customHeight="1" hidden="1" outlineLevel="1">
      <c r="A50" s="41" t="s">
        <v>96</v>
      </c>
      <c r="B50" s="48" t="s">
        <v>97</v>
      </c>
      <c r="C50" s="48" t="s">
        <v>65</v>
      </c>
      <c r="D50" s="13"/>
      <c r="E50" s="13"/>
      <c r="F50" s="13"/>
      <c r="G50" s="13"/>
      <c r="H50" s="24"/>
      <c r="I50" s="24"/>
      <c r="J50" s="24"/>
      <c r="K50" s="24"/>
      <c r="L50" s="24">
        <f>SUM(H50:J50)</f>
        <v>0</v>
      </c>
    </row>
    <row r="51" spans="1:12" s="35" customFormat="1" ht="15.75" customHeight="1">
      <c r="A51" s="55" t="s">
        <v>98</v>
      </c>
      <c r="B51" s="56" t="s">
        <v>99</v>
      </c>
      <c r="C51" s="32" t="s">
        <v>16</v>
      </c>
      <c r="D51" s="33" t="s">
        <v>19</v>
      </c>
      <c r="E51" s="33" t="s">
        <v>19</v>
      </c>
      <c r="F51" s="33" t="s">
        <v>19</v>
      </c>
      <c r="G51" s="33" t="s">
        <v>19</v>
      </c>
      <c r="H51" s="34">
        <f>H53+H54+H55+H56+H57+H58</f>
        <v>375612.1</v>
      </c>
      <c r="I51" s="34">
        <f>I53+I54+I55+I56+I57+I58</f>
        <v>348766.4</v>
      </c>
      <c r="J51" s="34">
        <f>J53+J54+J55+J56+J57+J58</f>
        <v>363676.6</v>
      </c>
      <c r="K51" s="34">
        <f>K53+K54+K55+K56+K57+K58</f>
        <v>355375.70000000007</v>
      </c>
      <c r="L51" s="34">
        <f>SUM(H51:K51)</f>
        <v>1443430.8000000003</v>
      </c>
    </row>
    <row r="52" spans="1:12" ht="15.75" hidden="1" outlineLevel="1">
      <c r="A52" s="55"/>
      <c r="B52" s="55"/>
      <c r="C52" s="36" t="s">
        <v>29</v>
      </c>
      <c r="D52" s="19"/>
      <c r="E52" s="19" t="s">
        <v>19</v>
      </c>
      <c r="F52" s="19" t="s">
        <v>19</v>
      </c>
      <c r="G52" s="19" t="s">
        <v>19</v>
      </c>
      <c r="H52" s="24">
        <f>H59+H63+H76+H90</f>
        <v>375612.1</v>
      </c>
      <c r="I52" s="24">
        <f>I59+I63+I76+I90</f>
        <v>348766.4</v>
      </c>
      <c r="J52" s="24">
        <f>J59+J63+J76+J90</f>
        <v>363676.60000000003</v>
      </c>
      <c r="K52" s="24">
        <f>K59+K63+K76+K90</f>
        <v>355375.7</v>
      </c>
      <c r="L52" s="24">
        <f>SUM(H52:K52)</f>
        <v>1443430.7999999998</v>
      </c>
    </row>
    <row r="53" spans="1:12" ht="50.25">
      <c r="A53" s="55"/>
      <c r="B53" s="55"/>
      <c r="C53" s="36" t="s">
        <v>30</v>
      </c>
      <c r="D53" s="13">
        <v>842</v>
      </c>
      <c r="E53" s="19" t="s">
        <v>19</v>
      </c>
      <c r="F53" s="19" t="s">
        <v>19</v>
      </c>
      <c r="G53" s="19" t="s">
        <v>19</v>
      </c>
      <c r="H53" s="34">
        <f>H62+H65+H77+H84+H85+H86+H87+H92+H95</f>
        <v>182843.4</v>
      </c>
      <c r="I53" s="34">
        <f>I62+I65+I77+I84+I85+I86+I87+I92+I95</f>
        <v>174680.7</v>
      </c>
      <c r="J53" s="34">
        <f>J62+J65+J77+J84+J85+J86+J87+J92+J95</f>
        <v>190590.9</v>
      </c>
      <c r="K53" s="34">
        <f>K62+K65+K77+K84+K85+K86+K87+K92+K95</f>
        <v>183290.00000000003</v>
      </c>
      <c r="L53" s="34">
        <f aca="true" t="shared" si="1" ref="L53:L59">SUM(H53:K53)</f>
        <v>731405</v>
      </c>
    </row>
    <row r="54" spans="1:12" s="21" customFormat="1" ht="63">
      <c r="A54" s="55"/>
      <c r="B54" s="55"/>
      <c r="C54" s="36" t="s">
        <v>100</v>
      </c>
      <c r="D54" s="13">
        <v>839</v>
      </c>
      <c r="E54" s="33" t="s">
        <v>19</v>
      </c>
      <c r="F54" s="33" t="s">
        <v>19</v>
      </c>
      <c r="G54" s="33" t="s">
        <v>19</v>
      </c>
      <c r="H54" s="34">
        <f>H67+H70+H73+H83</f>
        <v>192768.7</v>
      </c>
      <c r="I54" s="34">
        <f>I67+I70+I73+I83</f>
        <v>172085.7</v>
      </c>
      <c r="J54" s="34">
        <f>J67+J70+J73+J83</f>
        <v>172085.7</v>
      </c>
      <c r="K54" s="34">
        <f>K67+K70+K73+K83</f>
        <v>172085.7</v>
      </c>
      <c r="L54" s="34">
        <f t="shared" si="1"/>
        <v>709025.8</v>
      </c>
    </row>
    <row r="55" spans="1:12" s="21" customFormat="1" ht="55.5" customHeight="1">
      <c r="A55" s="55"/>
      <c r="B55" s="55"/>
      <c r="C55" s="36" t="s">
        <v>101</v>
      </c>
      <c r="D55" s="13">
        <v>825</v>
      </c>
      <c r="E55" s="33" t="s">
        <v>19</v>
      </c>
      <c r="F55" s="33" t="s">
        <v>19</v>
      </c>
      <c r="G55" s="33" t="s">
        <v>19</v>
      </c>
      <c r="H55" s="34">
        <f>H61</f>
        <v>0</v>
      </c>
      <c r="I55" s="34">
        <f>I61</f>
        <v>2000</v>
      </c>
      <c r="J55" s="34">
        <f>J61</f>
        <v>1000</v>
      </c>
      <c r="K55" s="34">
        <f>K61</f>
        <v>0</v>
      </c>
      <c r="L55" s="34">
        <f t="shared" si="1"/>
        <v>3000</v>
      </c>
    </row>
    <row r="56" spans="1:12" ht="37.5" hidden="1" outlineLevel="1">
      <c r="A56" s="57"/>
      <c r="B56" s="57"/>
      <c r="C56" s="48" t="s">
        <v>102</v>
      </c>
      <c r="D56" s="33"/>
      <c r="E56" s="33" t="s">
        <v>19</v>
      </c>
      <c r="F56" s="33" t="s">
        <v>19</v>
      </c>
      <c r="G56" s="33" t="s">
        <v>19</v>
      </c>
      <c r="H56" s="34">
        <f>H64</f>
        <v>0</v>
      </c>
      <c r="I56" s="34">
        <f>I64</f>
        <v>0</v>
      </c>
      <c r="J56" s="34">
        <f>J64</f>
        <v>0</v>
      </c>
      <c r="K56" s="34">
        <f>K64</f>
        <v>0</v>
      </c>
      <c r="L56" s="34">
        <f t="shared" si="1"/>
        <v>0</v>
      </c>
    </row>
    <row r="57" spans="1:12" ht="37.5" hidden="1" outlineLevel="1">
      <c r="A57" s="58"/>
      <c r="B57" s="58"/>
      <c r="C57" s="48" t="s">
        <v>103</v>
      </c>
      <c r="D57" s="33"/>
      <c r="E57" s="33" t="s">
        <v>19</v>
      </c>
      <c r="F57" s="33" t="s">
        <v>19</v>
      </c>
      <c r="G57" s="33" t="s">
        <v>19</v>
      </c>
      <c r="H57" s="34">
        <f aca="true" t="shared" si="2" ref="H57:J58">H88</f>
        <v>0</v>
      </c>
      <c r="I57" s="34">
        <f t="shared" si="2"/>
        <v>0</v>
      </c>
      <c r="J57" s="34">
        <f t="shared" si="2"/>
        <v>0</v>
      </c>
      <c r="K57" s="34">
        <f>K88</f>
        <v>0</v>
      </c>
      <c r="L57" s="34">
        <f t="shared" si="1"/>
        <v>0</v>
      </c>
    </row>
    <row r="58" spans="1:12" ht="37.5" hidden="1" outlineLevel="1">
      <c r="A58" s="59"/>
      <c r="B58" s="59"/>
      <c r="C58" s="48" t="s">
        <v>104</v>
      </c>
      <c r="D58" s="33"/>
      <c r="E58" s="33" t="s">
        <v>19</v>
      </c>
      <c r="F58" s="33" t="s">
        <v>19</v>
      </c>
      <c r="G58" s="33" t="s">
        <v>19</v>
      </c>
      <c r="H58" s="34">
        <f t="shared" si="2"/>
        <v>0</v>
      </c>
      <c r="I58" s="34">
        <f t="shared" si="2"/>
        <v>0</v>
      </c>
      <c r="J58" s="34">
        <f t="shared" si="2"/>
        <v>0</v>
      </c>
      <c r="K58" s="34">
        <f>K89</f>
        <v>0</v>
      </c>
      <c r="L58" s="34">
        <f t="shared" si="1"/>
        <v>0</v>
      </c>
    </row>
    <row r="59" spans="1:12" s="21" customFormat="1" ht="31.5" customHeight="1">
      <c r="A59" s="37" t="s">
        <v>105</v>
      </c>
      <c r="B59" s="60" t="s">
        <v>106</v>
      </c>
      <c r="C59" s="39"/>
      <c r="D59" s="19"/>
      <c r="E59" s="19"/>
      <c r="F59" s="19"/>
      <c r="G59" s="19"/>
      <c r="H59" s="40">
        <f>H60</f>
        <v>0</v>
      </c>
      <c r="I59" s="40">
        <f>I60</f>
        <v>2000</v>
      </c>
      <c r="J59" s="40">
        <f>J60</f>
        <v>4000</v>
      </c>
      <c r="K59" s="40">
        <f>K60</f>
        <v>0</v>
      </c>
      <c r="L59" s="34">
        <f t="shared" si="1"/>
        <v>6000</v>
      </c>
    </row>
    <row r="60" spans="1:12" s="21" customFormat="1" ht="24" customHeight="1">
      <c r="A60" s="41"/>
      <c r="B60" s="61" t="s">
        <v>107</v>
      </c>
      <c r="C60" s="39"/>
      <c r="D60" s="19"/>
      <c r="E60" s="19"/>
      <c r="F60" s="19"/>
      <c r="G60" s="19"/>
      <c r="H60" s="40">
        <f>H61+H62</f>
        <v>0</v>
      </c>
      <c r="I60" s="40">
        <f>I61+I62</f>
        <v>2000</v>
      </c>
      <c r="J60" s="40">
        <f>J61+J62</f>
        <v>4000</v>
      </c>
      <c r="K60" s="40">
        <f>K61+K62</f>
        <v>0</v>
      </c>
      <c r="L60" s="40">
        <f aca="true" t="shared" si="3" ref="L60:L67">SUM(H60:K60)</f>
        <v>6000</v>
      </c>
    </row>
    <row r="61" spans="1:12" ht="42" customHeight="1">
      <c r="A61" s="41" t="s">
        <v>108</v>
      </c>
      <c r="B61" s="62" t="s">
        <v>109</v>
      </c>
      <c r="C61" s="48" t="s">
        <v>110</v>
      </c>
      <c r="D61" s="13">
        <v>825</v>
      </c>
      <c r="E61" s="44" t="s">
        <v>111</v>
      </c>
      <c r="F61" s="44" t="s">
        <v>112</v>
      </c>
      <c r="G61" s="44" t="s">
        <v>42</v>
      </c>
      <c r="H61" s="24">
        <f>3000-3000</f>
        <v>0</v>
      </c>
      <c r="I61" s="24">
        <f>3000-1000</f>
        <v>2000</v>
      </c>
      <c r="J61" s="24">
        <f>1000</f>
        <v>1000</v>
      </c>
      <c r="K61" s="24">
        <v>0</v>
      </c>
      <c r="L61" s="24">
        <f t="shared" si="3"/>
        <v>3000</v>
      </c>
    </row>
    <row r="62" spans="1:12" ht="42.75" customHeight="1">
      <c r="A62" s="41" t="s">
        <v>113</v>
      </c>
      <c r="B62" s="62" t="s">
        <v>114</v>
      </c>
      <c r="C62" s="48" t="s">
        <v>36</v>
      </c>
      <c r="D62" s="13">
        <v>842</v>
      </c>
      <c r="E62" s="44" t="s">
        <v>111</v>
      </c>
      <c r="F62" s="44" t="s">
        <v>112</v>
      </c>
      <c r="G62" s="44" t="s">
        <v>42</v>
      </c>
      <c r="H62" s="24">
        <v>0</v>
      </c>
      <c r="I62" s="24">
        <v>0</v>
      </c>
      <c r="J62" s="24">
        <v>3000</v>
      </c>
      <c r="K62" s="24">
        <v>0</v>
      </c>
      <c r="L62" s="24">
        <f t="shared" si="3"/>
        <v>3000</v>
      </c>
    </row>
    <row r="63" spans="1:12" s="21" customFormat="1" ht="50.25" customHeight="1">
      <c r="A63" s="37" t="s">
        <v>115</v>
      </c>
      <c r="B63" s="63" t="s">
        <v>116</v>
      </c>
      <c r="C63" s="46"/>
      <c r="D63" s="19"/>
      <c r="E63" s="19"/>
      <c r="F63" s="19"/>
      <c r="G63" s="19"/>
      <c r="H63" s="40">
        <f>H64+H65+H67+H70+H73</f>
        <v>219280.3</v>
      </c>
      <c r="I63" s="40">
        <f>I64+I65+I67+I70+I73</f>
        <v>194136.7</v>
      </c>
      <c r="J63" s="40">
        <f>J64+J65+J67+J70+J73</f>
        <v>194136.7</v>
      </c>
      <c r="K63" s="40">
        <f>K64+K65+K67+K70+K73</f>
        <v>197136.7</v>
      </c>
      <c r="L63" s="40">
        <f t="shared" si="3"/>
        <v>804690.4000000001</v>
      </c>
    </row>
    <row r="64" spans="1:12" ht="36" hidden="1" outlineLevel="1">
      <c r="A64" s="41" t="s">
        <v>117</v>
      </c>
      <c r="B64" s="41" t="s">
        <v>118</v>
      </c>
      <c r="C64" s="41" t="s">
        <v>119</v>
      </c>
      <c r="D64" s="13"/>
      <c r="E64" s="13"/>
      <c r="F64" s="13"/>
      <c r="G64" s="13"/>
      <c r="H64" s="24">
        <v>0</v>
      </c>
      <c r="I64" s="24">
        <v>0</v>
      </c>
      <c r="J64" s="24">
        <v>0</v>
      </c>
      <c r="K64" s="24">
        <v>0</v>
      </c>
      <c r="L64" s="40">
        <f t="shared" si="3"/>
        <v>0</v>
      </c>
    </row>
    <row r="65" spans="1:12" ht="31.5" customHeight="1">
      <c r="A65" s="41" t="s">
        <v>120</v>
      </c>
      <c r="B65" s="41" t="s">
        <v>121</v>
      </c>
      <c r="C65" s="41" t="s">
        <v>36</v>
      </c>
      <c r="D65" s="13">
        <v>842</v>
      </c>
      <c r="E65" s="44" t="s">
        <v>69</v>
      </c>
      <c r="F65" s="13">
        <v>3170111</v>
      </c>
      <c r="G65" s="13">
        <v>810</v>
      </c>
      <c r="H65" s="40">
        <f>H66</f>
        <v>26511.6</v>
      </c>
      <c r="I65" s="40">
        <f>I66</f>
        <v>22051</v>
      </c>
      <c r="J65" s="40">
        <f>J66</f>
        <v>22051</v>
      </c>
      <c r="K65" s="40">
        <f>K66</f>
        <v>25051</v>
      </c>
      <c r="L65" s="40">
        <f t="shared" si="3"/>
        <v>95664.6</v>
      </c>
    </row>
    <row r="66" spans="1:12" ht="63.75" customHeight="1">
      <c r="A66" s="41"/>
      <c r="B66" s="41" t="s">
        <v>122</v>
      </c>
      <c r="C66" s="41" t="s">
        <v>36</v>
      </c>
      <c r="D66" s="44">
        <v>842</v>
      </c>
      <c r="E66" s="44" t="s">
        <v>69</v>
      </c>
      <c r="F66" s="44" t="s">
        <v>123</v>
      </c>
      <c r="G66" s="44" t="s">
        <v>84</v>
      </c>
      <c r="H66" s="24">
        <v>26511.6</v>
      </c>
      <c r="I66" s="24">
        <v>22051</v>
      </c>
      <c r="J66" s="24">
        <v>22051</v>
      </c>
      <c r="K66" s="24">
        <f>22051+3000</f>
        <v>25051</v>
      </c>
      <c r="L66" s="24">
        <f t="shared" si="3"/>
        <v>95664.6</v>
      </c>
    </row>
    <row r="67" spans="1:12" ht="39" customHeight="1">
      <c r="A67" s="41" t="s">
        <v>124</v>
      </c>
      <c r="B67" s="41" t="s">
        <v>125</v>
      </c>
      <c r="C67" s="48" t="s">
        <v>126</v>
      </c>
      <c r="D67" s="13">
        <v>839</v>
      </c>
      <c r="E67" s="13"/>
      <c r="F67" s="13"/>
      <c r="G67" s="13"/>
      <c r="H67" s="40">
        <f>H68+H69</f>
        <v>112768.7</v>
      </c>
      <c r="I67" s="40">
        <f>I68+I69</f>
        <v>112085.7</v>
      </c>
      <c r="J67" s="40">
        <f>J68+J69</f>
        <v>112085.7</v>
      </c>
      <c r="K67" s="40">
        <f>K68+K69</f>
        <v>112085.7</v>
      </c>
      <c r="L67" s="40">
        <f t="shared" si="3"/>
        <v>449025.8</v>
      </c>
    </row>
    <row r="68" spans="1:12" ht="74.25" customHeight="1">
      <c r="A68" s="41"/>
      <c r="B68" s="41" t="s">
        <v>127</v>
      </c>
      <c r="C68" s="48" t="s">
        <v>128</v>
      </c>
      <c r="D68" s="13">
        <v>839</v>
      </c>
      <c r="E68" s="44" t="s">
        <v>69</v>
      </c>
      <c r="F68" s="44" t="s">
        <v>129</v>
      </c>
      <c r="G68" s="44" t="s">
        <v>84</v>
      </c>
      <c r="H68" s="24">
        <v>89200</v>
      </c>
      <c r="I68" s="24">
        <v>89200</v>
      </c>
      <c r="J68" s="24">
        <v>89200</v>
      </c>
      <c r="K68" s="24">
        <v>89200</v>
      </c>
      <c r="L68" s="24">
        <f>SUM(H68:K68)</f>
        <v>356800</v>
      </c>
    </row>
    <row r="69" spans="1:12" ht="88.5" customHeight="1">
      <c r="A69" s="41"/>
      <c r="B69" s="41" t="s">
        <v>130</v>
      </c>
      <c r="C69" s="48" t="s">
        <v>68</v>
      </c>
      <c r="D69" s="13">
        <v>839</v>
      </c>
      <c r="E69" s="44" t="s">
        <v>69</v>
      </c>
      <c r="F69" s="44" t="s">
        <v>131</v>
      </c>
      <c r="G69" s="44" t="s">
        <v>51</v>
      </c>
      <c r="H69" s="24">
        <f>23568.7</f>
        <v>23568.7</v>
      </c>
      <c r="I69" s="24">
        <v>22885.7</v>
      </c>
      <c r="J69" s="24">
        <v>22885.7</v>
      </c>
      <c r="K69" s="24">
        <v>22885.7</v>
      </c>
      <c r="L69" s="24">
        <f>SUM(H69:K69)</f>
        <v>92225.8</v>
      </c>
    </row>
    <row r="70" spans="1:12" ht="43.5">
      <c r="A70" s="41" t="s">
        <v>132</v>
      </c>
      <c r="B70" s="41" t="s">
        <v>133</v>
      </c>
      <c r="C70" s="48" t="s">
        <v>134</v>
      </c>
      <c r="D70" s="13">
        <v>839</v>
      </c>
      <c r="E70" s="44"/>
      <c r="F70" s="44"/>
      <c r="G70" s="44"/>
      <c r="H70" s="40">
        <f>H71+H72</f>
        <v>0</v>
      </c>
      <c r="I70" s="40">
        <f>I71+I72</f>
        <v>6000</v>
      </c>
      <c r="J70" s="40">
        <f>J71+J72</f>
        <v>6000</v>
      </c>
      <c r="K70" s="40">
        <f>K71+K72</f>
        <v>6000</v>
      </c>
      <c r="L70" s="40">
        <f>SUM(H70:K70)</f>
        <v>18000</v>
      </c>
    </row>
    <row r="71" spans="1:12" ht="55.5" customHeight="1">
      <c r="A71" s="41"/>
      <c r="B71" s="41" t="s">
        <v>135</v>
      </c>
      <c r="C71" s="48" t="s">
        <v>68</v>
      </c>
      <c r="D71" s="13">
        <v>839</v>
      </c>
      <c r="E71" s="44" t="s">
        <v>69</v>
      </c>
      <c r="F71" s="44" t="s">
        <v>136</v>
      </c>
      <c r="G71" s="44" t="s">
        <v>84</v>
      </c>
      <c r="H71" s="24">
        <v>0</v>
      </c>
      <c r="I71" s="24">
        <f>2287</f>
        <v>2287</v>
      </c>
      <c r="J71" s="24">
        <f>2287</f>
        <v>2287</v>
      </c>
      <c r="K71" s="24">
        <f>2287</f>
        <v>2287</v>
      </c>
      <c r="L71" s="24">
        <f aca="true" t="shared" si="4" ref="L71:L105">SUM(H71:K71)</f>
        <v>6861</v>
      </c>
    </row>
    <row r="72" spans="1:12" ht="79.5" customHeight="1">
      <c r="A72" s="41"/>
      <c r="B72" s="41" t="s">
        <v>137</v>
      </c>
      <c r="C72" s="48" t="s">
        <v>68</v>
      </c>
      <c r="D72" s="13">
        <v>839</v>
      </c>
      <c r="E72" s="44" t="s">
        <v>69</v>
      </c>
      <c r="F72" s="44" t="s">
        <v>138</v>
      </c>
      <c r="G72" s="44" t="s">
        <v>51</v>
      </c>
      <c r="H72" s="24">
        <v>0</v>
      </c>
      <c r="I72" s="24">
        <f>3713</f>
        <v>3713</v>
      </c>
      <c r="J72" s="24">
        <f>3713</f>
        <v>3713</v>
      </c>
      <c r="K72" s="24">
        <f>3713</f>
        <v>3713</v>
      </c>
      <c r="L72" s="24">
        <f t="shared" si="4"/>
        <v>11139</v>
      </c>
    </row>
    <row r="73" spans="1:12" ht="43.5">
      <c r="A73" s="41" t="s">
        <v>139</v>
      </c>
      <c r="B73" s="41" t="s">
        <v>140</v>
      </c>
      <c r="C73" s="48" t="s">
        <v>141</v>
      </c>
      <c r="D73" s="13">
        <v>839</v>
      </c>
      <c r="E73" s="13"/>
      <c r="F73" s="13"/>
      <c r="G73" s="13"/>
      <c r="H73" s="40">
        <f>H74+H75</f>
        <v>80000</v>
      </c>
      <c r="I73" s="40">
        <f>I74+I75</f>
        <v>54000</v>
      </c>
      <c r="J73" s="40">
        <f>J74+J75</f>
        <v>54000</v>
      </c>
      <c r="K73" s="40">
        <f>K74+K75</f>
        <v>54000</v>
      </c>
      <c r="L73" s="40">
        <f>SUM(H73:K73)</f>
        <v>242000</v>
      </c>
    </row>
    <row r="74" spans="1:12" ht="54.75" customHeight="1">
      <c r="A74" s="41"/>
      <c r="B74" s="41" t="s">
        <v>142</v>
      </c>
      <c r="C74" s="48" t="s">
        <v>143</v>
      </c>
      <c r="D74" s="13">
        <v>839</v>
      </c>
      <c r="E74" s="44" t="s">
        <v>69</v>
      </c>
      <c r="F74" s="44" t="s">
        <v>144</v>
      </c>
      <c r="G74" s="44" t="s">
        <v>84</v>
      </c>
      <c r="H74" s="24">
        <f>80000</f>
        <v>80000</v>
      </c>
      <c r="I74" s="24">
        <v>50000</v>
      </c>
      <c r="J74" s="24">
        <v>50000</v>
      </c>
      <c r="K74" s="24">
        <v>50000</v>
      </c>
      <c r="L74" s="24">
        <f t="shared" si="4"/>
        <v>230000</v>
      </c>
    </row>
    <row r="75" spans="1:12" ht="43.5">
      <c r="A75" s="41"/>
      <c r="B75" s="41" t="s">
        <v>145</v>
      </c>
      <c r="C75" s="48" t="s">
        <v>68</v>
      </c>
      <c r="D75" s="13">
        <v>839</v>
      </c>
      <c r="E75" s="44" t="s">
        <v>69</v>
      </c>
      <c r="F75" s="44" t="s">
        <v>146</v>
      </c>
      <c r="G75" s="44" t="s">
        <v>84</v>
      </c>
      <c r="H75" s="24">
        <v>0</v>
      </c>
      <c r="I75" s="24">
        <v>4000</v>
      </c>
      <c r="J75" s="24">
        <v>4000</v>
      </c>
      <c r="K75" s="24">
        <v>4000</v>
      </c>
      <c r="L75" s="24">
        <f t="shared" si="4"/>
        <v>12000</v>
      </c>
    </row>
    <row r="76" spans="1:12" s="21" customFormat="1" ht="44.25" customHeight="1">
      <c r="A76" s="37" t="s">
        <v>147</v>
      </c>
      <c r="B76" s="64" t="s">
        <v>148</v>
      </c>
      <c r="C76" s="39"/>
      <c r="D76" s="19"/>
      <c r="E76" s="19"/>
      <c r="F76" s="19"/>
      <c r="G76" s="19"/>
      <c r="H76" s="40">
        <f>H77+H82+H83+H84+H85+H86+H87+H88+H89</f>
        <v>125513.8</v>
      </c>
      <c r="I76" s="40">
        <f>I77+I82+I83+I84+I85+I86+I87+I88+I89</f>
        <v>131195</v>
      </c>
      <c r="J76" s="40">
        <f>J77+J82+J83+J84+J85+J86+J87+J88+J89</f>
        <v>125434</v>
      </c>
      <c r="K76" s="40">
        <f>K77+K82+K83+K84+K85+K86+K87+K88+K89</f>
        <v>126663.29999999999</v>
      </c>
      <c r="L76" s="40">
        <f>SUM(H76:K76)</f>
        <v>508806.1</v>
      </c>
    </row>
    <row r="77" spans="1:12" ht="66" customHeight="1">
      <c r="A77" s="41" t="s">
        <v>149</v>
      </c>
      <c r="B77" s="41" t="s">
        <v>150</v>
      </c>
      <c r="C77" s="48" t="s">
        <v>36</v>
      </c>
      <c r="D77" s="13">
        <v>842</v>
      </c>
      <c r="E77" s="13"/>
      <c r="F77" s="13"/>
      <c r="G77" s="13"/>
      <c r="H77" s="24">
        <f>H78+H79+H80+H81</f>
        <v>55513.8</v>
      </c>
      <c r="I77" s="24">
        <f>I78+I79+I80+I81</f>
        <v>54451.6</v>
      </c>
      <c r="J77" s="24">
        <f>J78+J79+J80+J81</f>
        <v>55513.7</v>
      </c>
      <c r="K77" s="24">
        <f>K78+K79+K80+K81</f>
        <v>55552.1</v>
      </c>
      <c r="L77" s="24">
        <f t="shared" si="4"/>
        <v>221031.2</v>
      </c>
    </row>
    <row r="78" spans="1:12" ht="60">
      <c r="A78" s="41"/>
      <c r="B78" s="65" t="s">
        <v>151</v>
      </c>
      <c r="C78" s="48"/>
      <c r="D78" s="13">
        <v>842</v>
      </c>
      <c r="E78" s="44" t="s">
        <v>38</v>
      </c>
      <c r="F78" s="44" t="s">
        <v>152</v>
      </c>
      <c r="G78" s="44" t="s">
        <v>153</v>
      </c>
      <c r="H78" s="24">
        <v>27293.9</v>
      </c>
      <c r="I78" s="24">
        <v>24950.6</v>
      </c>
      <c r="J78" s="24">
        <v>25078.7</v>
      </c>
      <c r="K78" s="24">
        <v>25147.1</v>
      </c>
      <c r="L78" s="24">
        <f t="shared" si="4"/>
        <v>102470.29999999999</v>
      </c>
    </row>
    <row r="79" spans="1:12" ht="19.5" customHeight="1">
      <c r="A79" s="41"/>
      <c r="B79" s="65" t="s">
        <v>154</v>
      </c>
      <c r="C79" s="48"/>
      <c r="D79" s="13">
        <v>842</v>
      </c>
      <c r="E79" s="44" t="s">
        <v>38</v>
      </c>
      <c r="F79" s="44" t="s">
        <v>152</v>
      </c>
      <c r="G79" s="44" t="s">
        <v>155</v>
      </c>
      <c r="H79" s="24">
        <v>25341.7</v>
      </c>
      <c r="I79" s="24">
        <v>29201</v>
      </c>
      <c r="J79" s="24">
        <v>30135</v>
      </c>
      <c r="K79" s="24">
        <v>30105</v>
      </c>
      <c r="L79" s="24">
        <f t="shared" si="4"/>
        <v>114782.7</v>
      </c>
    </row>
    <row r="80" spans="1:12" ht="28.5" customHeight="1">
      <c r="A80" s="41"/>
      <c r="B80" s="65"/>
      <c r="C80" s="48"/>
      <c r="D80" s="13">
        <v>842</v>
      </c>
      <c r="E80" s="44" t="s">
        <v>38</v>
      </c>
      <c r="F80" s="44" t="s">
        <v>152</v>
      </c>
      <c r="G80" s="44" t="s">
        <v>156</v>
      </c>
      <c r="H80" s="24">
        <v>2266</v>
      </c>
      <c r="I80" s="24">
        <v>0</v>
      </c>
      <c r="J80" s="24">
        <v>0</v>
      </c>
      <c r="K80" s="24">
        <v>0</v>
      </c>
      <c r="L80" s="24">
        <f t="shared" si="4"/>
        <v>2266</v>
      </c>
    </row>
    <row r="81" spans="1:12" ht="45" customHeight="1">
      <c r="A81" s="66"/>
      <c r="B81" s="67" t="s">
        <v>157</v>
      </c>
      <c r="C81" s="68"/>
      <c r="D81" s="13">
        <v>842</v>
      </c>
      <c r="E81" s="44" t="s">
        <v>38</v>
      </c>
      <c r="F81" s="44" t="s">
        <v>44</v>
      </c>
      <c r="G81" s="44" t="s">
        <v>42</v>
      </c>
      <c r="H81" s="24">
        <v>612.2</v>
      </c>
      <c r="I81" s="24">
        <v>300</v>
      </c>
      <c r="J81" s="24">
        <v>300</v>
      </c>
      <c r="K81" s="24">
        <v>300</v>
      </c>
      <c r="L81" s="24">
        <f t="shared" si="4"/>
        <v>1512.2</v>
      </c>
    </row>
    <row r="82" spans="1:12" ht="36" hidden="1" outlineLevel="1">
      <c r="A82" s="41" t="s">
        <v>158</v>
      </c>
      <c r="B82" s="41" t="s">
        <v>159</v>
      </c>
      <c r="C82" s="48" t="s">
        <v>91</v>
      </c>
      <c r="D82" s="13"/>
      <c r="E82" s="13"/>
      <c r="F82" s="13"/>
      <c r="G82" s="13"/>
      <c r="H82" s="24"/>
      <c r="I82" s="24"/>
      <c r="J82" s="24"/>
      <c r="K82" s="24"/>
      <c r="L82" s="24">
        <f t="shared" si="4"/>
        <v>0</v>
      </c>
    </row>
    <row r="83" spans="1:12" ht="36" hidden="1" outlineLevel="1">
      <c r="A83" s="41" t="s">
        <v>160</v>
      </c>
      <c r="B83" s="41" t="s">
        <v>161</v>
      </c>
      <c r="C83" s="48" t="s">
        <v>65</v>
      </c>
      <c r="D83" s="13"/>
      <c r="E83" s="13"/>
      <c r="F83" s="13"/>
      <c r="G83" s="13"/>
      <c r="H83" s="24"/>
      <c r="I83" s="24"/>
      <c r="J83" s="24"/>
      <c r="K83" s="24"/>
      <c r="L83" s="24">
        <f t="shared" si="4"/>
        <v>0</v>
      </c>
    </row>
    <row r="84" spans="1:12" ht="48" customHeight="1">
      <c r="A84" s="41" t="s">
        <v>162</v>
      </c>
      <c r="B84" s="41" t="s">
        <v>163</v>
      </c>
      <c r="C84" s="48" t="s">
        <v>36</v>
      </c>
      <c r="D84" s="44">
        <v>842</v>
      </c>
      <c r="E84" s="44" t="s">
        <v>69</v>
      </c>
      <c r="F84" s="44" t="s">
        <v>152</v>
      </c>
      <c r="G84" s="44" t="s">
        <v>164</v>
      </c>
      <c r="H84" s="24">
        <f>3209</f>
        <v>3209</v>
      </c>
      <c r="I84" s="24">
        <v>0</v>
      </c>
      <c r="J84" s="24">
        <v>0</v>
      </c>
      <c r="K84" s="24">
        <v>0</v>
      </c>
      <c r="L84" s="24">
        <f t="shared" si="4"/>
        <v>3209</v>
      </c>
    </row>
    <row r="85" spans="1:12" ht="51" customHeight="1">
      <c r="A85" s="41"/>
      <c r="B85" s="41"/>
      <c r="C85" s="48"/>
      <c r="D85" s="44">
        <v>842</v>
      </c>
      <c r="E85" s="44" t="s">
        <v>69</v>
      </c>
      <c r="F85" s="44" t="s">
        <v>165</v>
      </c>
      <c r="G85" s="44" t="s">
        <v>164</v>
      </c>
      <c r="H85" s="24">
        <v>0</v>
      </c>
      <c r="I85" s="24">
        <f>9942.1-125+103.8+5300</f>
        <v>15220.9</v>
      </c>
      <c r="J85" s="24">
        <f>16483</f>
        <v>16483</v>
      </c>
      <c r="K85" s="24">
        <f>17323.1</f>
        <v>17323.1</v>
      </c>
      <c r="L85" s="24">
        <f t="shared" si="4"/>
        <v>49027</v>
      </c>
    </row>
    <row r="86" spans="1:12" ht="17.25" customHeight="1">
      <c r="A86" s="41" t="s">
        <v>166</v>
      </c>
      <c r="B86" s="41" t="s">
        <v>167</v>
      </c>
      <c r="C86" s="48" t="s">
        <v>36</v>
      </c>
      <c r="D86" s="44">
        <v>842</v>
      </c>
      <c r="E86" s="44" t="s">
        <v>69</v>
      </c>
      <c r="F86" s="44" t="s">
        <v>152</v>
      </c>
      <c r="G86" s="44" t="s">
        <v>168</v>
      </c>
      <c r="H86" s="24">
        <f>66791</f>
        <v>66791</v>
      </c>
      <c r="I86" s="24">
        <v>0</v>
      </c>
      <c r="J86" s="24">
        <v>0</v>
      </c>
      <c r="K86" s="24">
        <v>0</v>
      </c>
      <c r="L86" s="24">
        <f t="shared" si="4"/>
        <v>66791</v>
      </c>
    </row>
    <row r="87" spans="1:12" ht="18.75" customHeight="1">
      <c r="A87" s="41"/>
      <c r="B87" s="41"/>
      <c r="C87" s="48"/>
      <c r="D87" s="44">
        <v>842</v>
      </c>
      <c r="E87" s="44" t="s">
        <v>69</v>
      </c>
      <c r="F87" s="44" t="s">
        <v>165</v>
      </c>
      <c r="G87" s="44" t="s">
        <v>168</v>
      </c>
      <c r="H87" s="24">
        <v>0</v>
      </c>
      <c r="I87" s="69">
        <f>60522.5+1000</f>
        <v>61522.5</v>
      </c>
      <c r="J87" s="69">
        <f>54437.3-1000</f>
        <v>53437.3</v>
      </c>
      <c r="K87" s="24">
        <f>53788.1</f>
        <v>53788.1</v>
      </c>
      <c r="L87" s="24">
        <f t="shared" si="4"/>
        <v>168747.9</v>
      </c>
    </row>
    <row r="88" spans="1:12" ht="48" hidden="1" outlineLevel="1">
      <c r="A88" s="41" t="s">
        <v>169</v>
      </c>
      <c r="B88" s="41" t="s">
        <v>170</v>
      </c>
      <c r="C88" s="41" t="s">
        <v>171</v>
      </c>
      <c r="D88" s="44"/>
      <c r="E88" s="44"/>
      <c r="F88" s="44"/>
      <c r="G88" s="44"/>
      <c r="H88" s="24"/>
      <c r="I88" s="24"/>
      <c r="J88" s="24"/>
      <c r="K88" s="24"/>
      <c r="L88" s="24">
        <f t="shared" si="4"/>
        <v>0</v>
      </c>
    </row>
    <row r="89" spans="1:12" ht="48" hidden="1" outlineLevel="1">
      <c r="A89" s="41" t="s">
        <v>172</v>
      </c>
      <c r="B89" s="41" t="s">
        <v>173</v>
      </c>
      <c r="C89" s="41" t="s">
        <v>174</v>
      </c>
      <c r="D89" s="44"/>
      <c r="E89" s="44"/>
      <c r="F89" s="44"/>
      <c r="G89" s="44"/>
      <c r="H89" s="24"/>
      <c r="I89" s="24"/>
      <c r="J89" s="24"/>
      <c r="K89" s="24"/>
      <c r="L89" s="24">
        <f t="shared" si="4"/>
        <v>0</v>
      </c>
    </row>
    <row r="90" spans="1:12" s="21" customFormat="1" ht="36">
      <c r="A90" s="37" t="s">
        <v>175</v>
      </c>
      <c r="B90" s="64" t="s">
        <v>176</v>
      </c>
      <c r="C90" s="41"/>
      <c r="D90" s="70"/>
      <c r="E90" s="70"/>
      <c r="F90" s="70"/>
      <c r="G90" s="70"/>
      <c r="H90" s="40">
        <f>H91+H92+H95</f>
        <v>30818</v>
      </c>
      <c r="I90" s="40">
        <f>I91+I92+I95</f>
        <v>21434.7</v>
      </c>
      <c r="J90" s="40">
        <f>J91+J92+J95</f>
        <v>40105.9</v>
      </c>
      <c r="K90" s="40">
        <f>K91+K92+K95</f>
        <v>31575.7</v>
      </c>
      <c r="L90" s="40">
        <f t="shared" si="4"/>
        <v>123934.3</v>
      </c>
    </row>
    <row r="91" spans="1:12" ht="36" hidden="1" outlineLevel="1">
      <c r="A91" s="41" t="s">
        <v>177</v>
      </c>
      <c r="B91" s="71" t="s">
        <v>178</v>
      </c>
      <c r="C91" s="48" t="s">
        <v>65</v>
      </c>
      <c r="D91" s="44"/>
      <c r="E91" s="44"/>
      <c r="F91" s="44"/>
      <c r="G91" s="44"/>
      <c r="H91" s="24">
        <v>0</v>
      </c>
      <c r="I91" s="24">
        <v>0</v>
      </c>
      <c r="J91" s="24">
        <v>0</v>
      </c>
      <c r="K91" s="24">
        <v>0</v>
      </c>
      <c r="L91" s="24">
        <f t="shared" si="4"/>
        <v>0</v>
      </c>
    </row>
    <row r="92" spans="1:12" ht="27.75" customHeight="1">
      <c r="A92" s="41" t="s">
        <v>179</v>
      </c>
      <c r="B92" s="71" t="s">
        <v>180</v>
      </c>
      <c r="C92" s="48" t="s">
        <v>36</v>
      </c>
      <c r="D92" s="13">
        <v>842</v>
      </c>
      <c r="E92" s="44"/>
      <c r="F92" s="44"/>
      <c r="G92" s="44"/>
      <c r="H92" s="24">
        <f>H93+H94</f>
        <v>1100</v>
      </c>
      <c r="I92" s="24">
        <f>I93+I94</f>
        <v>1100</v>
      </c>
      <c r="J92" s="24">
        <f>J93+J94</f>
        <v>1100</v>
      </c>
      <c r="K92" s="24">
        <f>K93+K94</f>
        <v>1100</v>
      </c>
      <c r="L92" s="24">
        <f t="shared" si="4"/>
        <v>4400</v>
      </c>
    </row>
    <row r="93" spans="1:12" ht="24">
      <c r="A93" s="41"/>
      <c r="B93" s="71" t="s">
        <v>181</v>
      </c>
      <c r="C93" s="48" t="s">
        <v>36</v>
      </c>
      <c r="D93" s="44" t="s">
        <v>182</v>
      </c>
      <c r="E93" s="44" t="s">
        <v>38</v>
      </c>
      <c r="F93" s="44" t="s">
        <v>112</v>
      </c>
      <c r="G93" s="44" t="s">
        <v>42</v>
      </c>
      <c r="H93" s="24">
        <v>1000</v>
      </c>
      <c r="I93" s="24">
        <f>1100</f>
        <v>1100</v>
      </c>
      <c r="J93" s="24">
        <f>1100</f>
        <v>1100</v>
      </c>
      <c r="K93" s="24">
        <v>1000</v>
      </c>
      <c r="L93" s="24">
        <f t="shared" si="4"/>
        <v>4200</v>
      </c>
    </row>
    <row r="94" spans="1:12" ht="24">
      <c r="A94" s="41"/>
      <c r="B94" s="71" t="s">
        <v>183</v>
      </c>
      <c r="C94" s="48" t="s">
        <v>36</v>
      </c>
      <c r="D94" s="44" t="s">
        <v>182</v>
      </c>
      <c r="E94" s="44" t="s">
        <v>38</v>
      </c>
      <c r="F94" s="44" t="s">
        <v>112</v>
      </c>
      <c r="G94" s="44" t="s">
        <v>42</v>
      </c>
      <c r="H94" s="24">
        <v>100</v>
      </c>
      <c r="I94" s="24">
        <v>0</v>
      </c>
      <c r="J94" s="24">
        <v>0</v>
      </c>
      <c r="K94" s="24">
        <v>100</v>
      </c>
      <c r="L94" s="24">
        <f t="shared" si="4"/>
        <v>200</v>
      </c>
    </row>
    <row r="95" spans="1:12" ht="33.75">
      <c r="A95" s="72" t="s">
        <v>184</v>
      </c>
      <c r="B95" s="73" t="s">
        <v>185</v>
      </c>
      <c r="C95" s="48" t="s">
        <v>36</v>
      </c>
      <c r="D95" s="44" t="s">
        <v>182</v>
      </c>
      <c r="E95" s="44" t="s">
        <v>38</v>
      </c>
      <c r="F95" s="44" t="s">
        <v>186</v>
      </c>
      <c r="G95" s="44" t="s">
        <v>187</v>
      </c>
      <c r="H95" s="24">
        <f>29700+18</f>
        <v>29718</v>
      </c>
      <c r="I95" s="24">
        <f>29929.7-9595</f>
        <v>20334.7</v>
      </c>
      <c r="J95" s="24">
        <v>39005.9</v>
      </c>
      <c r="K95" s="24">
        <v>30475.7</v>
      </c>
      <c r="L95" s="24">
        <f t="shared" si="4"/>
        <v>119534.3</v>
      </c>
    </row>
    <row r="96" spans="1:12" s="35" customFormat="1" ht="31.5" customHeight="1">
      <c r="A96" s="74" t="s">
        <v>188</v>
      </c>
      <c r="B96" s="74" t="s">
        <v>189</v>
      </c>
      <c r="C96" s="18" t="s">
        <v>16</v>
      </c>
      <c r="D96" s="33" t="s">
        <v>19</v>
      </c>
      <c r="E96" s="33" t="s">
        <v>19</v>
      </c>
      <c r="F96" s="33" t="s">
        <v>19</v>
      </c>
      <c r="G96" s="33" t="s">
        <v>19</v>
      </c>
      <c r="H96" s="34">
        <f>H98+H99</f>
        <v>71665.8</v>
      </c>
      <c r="I96" s="34">
        <f>I98+I99</f>
        <v>73366.2</v>
      </c>
      <c r="J96" s="34">
        <f>J98+J99</f>
        <v>75890.5</v>
      </c>
      <c r="K96" s="34">
        <f>K98+K99</f>
        <v>76137.4</v>
      </c>
      <c r="L96" s="34">
        <f>SUM(H96:K96)</f>
        <v>297059.9</v>
      </c>
    </row>
    <row r="97" spans="1:12" ht="27" customHeight="1" hidden="1" outlineLevel="1">
      <c r="A97" s="74"/>
      <c r="B97" s="74"/>
      <c r="C97" s="23" t="s">
        <v>29</v>
      </c>
      <c r="D97" s="19"/>
      <c r="E97" s="19" t="s">
        <v>19</v>
      </c>
      <c r="F97" s="19" t="s">
        <v>19</v>
      </c>
      <c r="G97" s="19" t="s">
        <v>19</v>
      </c>
      <c r="H97" s="24">
        <f>H101+H105+H106</f>
        <v>71665.8</v>
      </c>
      <c r="I97" s="24">
        <f>I101+I105+I106</f>
        <v>73366.2</v>
      </c>
      <c r="J97" s="24">
        <f>J101+J105+J106</f>
        <v>75890.5</v>
      </c>
      <c r="K97" s="24">
        <f>K101+K105+K106</f>
        <v>76137.4</v>
      </c>
      <c r="L97" s="24">
        <f>L101+L105+L106</f>
        <v>297059.9</v>
      </c>
    </row>
    <row r="98" spans="1:13" ht="56.25" customHeight="1">
      <c r="A98" s="74"/>
      <c r="B98" s="74"/>
      <c r="C98" s="23" t="s">
        <v>190</v>
      </c>
      <c r="D98" s="13">
        <v>842</v>
      </c>
      <c r="E98" s="19" t="s">
        <v>19</v>
      </c>
      <c r="F98" s="19" t="s">
        <v>19</v>
      </c>
      <c r="G98" s="19" t="s">
        <v>19</v>
      </c>
      <c r="H98" s="40">
        <f>H101+H106</f>
        <v>49586.4</v>
      </c>
      <c r="I98" s="40">
        <f>I101+I106</f>
        <v>52277.4</v>
      </c>
      <c r="J98" s="40">
        <f>J101+J106</f>
        <v>54218.299999999996</v>
      </c>
      <c r="K98" s="40">
        <f>K101+K106</f>
        <v>54343.1</v>
      </c>
      <c r="L98" s="40">
        <f t="shared" si="4"/>
        <v>210425.19999999998</v>
      </c>
      <c r="M98" s="75"/>
    </row>
    <row r="99" spans="1:13" ht="36">
      <c r="A99" s="30"/>
      <c r="B99" s="30"/>
      <c r="C99" s="27" t="s">
        <v>191</v>
      </c>
      <c r="D99" s="13">
        <v>841</v>
      </c>
      <c r="E99" s="19" t="s">
        <v>19</v>
      </c>
      <c r="F99" s="19" t="s">
        <v>19</v>
      </c>
      <c r="G99" s="19" t="s">
        <v>19</v>
      </c>
      <c r="H99" s="40">
        <f>H105</f>
        <v>22079.4</v>
      </c>
      <c r="I99" s="40">
        <f>I105</f>
        <v>21088.8</v>
      </c>
      <c r="J99" s="40">
        <f>J105</f>
        <v>21672.2</v>
      </c>
      <c r="K99" s="40">
        <f>K105</f>
        <v>21794.3</v>
      </c>
      <c r="L99" s="40">
        <f t="shared" si="4"/>
        <v>86634.70000000001</v>
      </c>
      <c r="M99" s="75"/>
    </row>
    <row r="100" spans="1:13" ht="39.75" customHeight="1">
      <c r="A100" s="29" t="s">
        <v>192</v>
      </c>
      <c r="B100" s="76" t="s">
        <v>193</v>
      </c>
      <c r="C100" s="39"/>
      <c r="D100" s="19"/>
      <c r="E100" s="19"/>
      <c r="F100" s="19"/>
      <c r="G100" s="19"/>
      <c r="H100" s="40">
        <f>H101+H105+H106</f>
        <v>71665.8</v>
      </c>
      <c r="I100" s="40">
        <f>I101+I105+I106</f>
        <v>73366.2</v>
      </c>
      <c r="J100" s="40">
        <f>J101+J105+J106</f>
        <v>75890.5</v>
      </c>
      <c r="K100" s="40">
        <f>K101+K105+K106</f>
        <v>76137.4</v>
      </c>
      <c r="L100" s="40">
        <f t="shared" si="4"/>
        <v>297059.9</v>
      </c>
      <c r="M100" s="75"/>
    </row>
    <row r="101" spans="1:13" ht="24" customHeight="1">
      <c r="A101" s="72" t="s">
        <v>194</v>
      </c>
      <c r="B101" s="77" t="s">
        <v>195</v>
      </c>
      <c r="C101" s="78" t="s">
        <v>36</v>
      </c>
      <c r="D101" s="13">
        <v>842</v>
      </c>
      <c r="E101" s="19"/>
      <c r="F101" s="19"/>
      <c r="G101" s="19"/>
      <c r="H101" s="40">
        <f>H102+H103+H104</f>
        <v>48986.4</v>
      </c>
      <c r="I101" s="40">
        <f>I102+I103+I104</f>
        <v>51677.4</v>
      </c>
      <c r="J101" s="40">
        <f>J102+J103+J104</f>
        <v>53618.299999999996</v>
      </c>
      <c r="K101" s="40">
        <f>K102+K103+K104</f>
        <v>53743.1</v>
      </c>
      <c r="L101" s="40">
        <f t="shared" si="4"/>
        <v>208025.19999999998</v>
      </c>
      <c r="M101" s="75"/>
    </row>
    <row r="102" spans="1:13" ht="72">
      <c r="A102" s="72"/>
      <c r="B102" s="72"/>
      <c r="C102" s="79"/>
      <c r="D102" s="44" t="s">
        <v>182</v>
      </c>
      <c r="E102" s="44" t="s">
        <v>69</v>
      </c>
      <c r="F102" s="44" t="s">
        <v>196</v>
      </c>
      <c r="G102" s="44" t="s">
        <v>197</v>
      </c>
      <c r="H102" s="24">
        <f>44825.6+4834.8-1472+674-222.2</f>
        <v>48640.200000000004</v>
      </c>
      <c r="I102" s="24">
        <f>47145.4+4510.8+125-103.8</f>
        <v>51677.4</v>
      </c>
      <c r="J102" s="24">
        <f>49013.1+4605.2</f>
        <v>53618.299999999996</v>
      </c>
      <c r="K102" s="24">
        <f>49042.4+4700.7</f>
        <v>53743.1</v>
      </c>
      <c r="L102" s="24">
        <f t="shared" si="4"/>
        <v>207679</v>
      </c>
      <c r="M102" s="45"/>
    </row>
    <row r="103" spans="1:13" ht="15.75" customHeight="1" hidden="1" outlineLevel="1">
      <c r="A103" s="72"/>
      <c r="B103" s="72"/>
      <c r="C103" s="79"/>
      <c r="D103" s="44" t="s">
        <v>182</v>
      </c>
      <c r="E103" s="44" t="s">
        <v>198</v>
      </c>
      <c r="F103" s="44" t="s">
        <v>199</v>
      </c>
      <c r="G103" s="44" t="s">
        <v>200</v>
      </c>
      <c r="H103" s="24">
        <f>295.2-295.2</f>
        <v>0</v>
      </c>
      <c r="I103" s="24">
        <v>0</v>
      </c>
      <c r="J103" s="24">
        <v>0</v>
      </c>
      <c r="K103" s="24">
        <v>0</v>
      </c>
      <c r="L103" s="24">
        <f>SUM(H103:K103)</f>
        <v>0</v>
      </c>
      <c r="M103" s="45"/>
    </row>
    <row r="104" spans="1:13" ht="18" customHeight="1">
      <c r="A104" s="72"/>
      <c r="B104" s="72"/>
      <c r="C104" s="68"/>
      <c r="D104" s="44" t="s">
        <v>182</v>
      </c>
      <c r="E104" s="44" t="s">
        <v>198</v>
      </c>
      <c r="F104" s="44" t="s">
        <v>201</v>
      </c>
      <c r="G104" s="44" t="s">
        <v>42</v>
      </c>
      <c r="H104" s="24">
        <v>346.2</v>
      </c>
      <c r="I104" s="24">
        <f>0</f>
        <v>0</v>
      </c>
      <c r="J104" s="24">
        <v>0</v>
      </c>
      <c r="K104" s="24">
        <v>0</v>
      </c>
      <c r="L104" s="24">
        <f t="shared" si="4"/>
        <v>346.2</v>
      </c>
      <c r="M104" s="45"/>
    </row>
    <row r="105" spans="1:13" ht="45">
      <c r="A105" s="66"/>
      <c r="B105" s="66"/>
      <c r="C105" s="41" t="s">
        <v>202</v>
      </c>
      <c r="D105" s="44" t="s">
        <v>203</v>
      </c>
      <c r="E105" s="44" t="s">
        <v>204</v>
      </c>
      <c r="F105" s="44" t="s">
        <v>196</v>
      </c>
      <c r="G105" s="44" t="s">
        <v>205</v>
      </c>
      <c r="H105" s="24">
        <f>22079.4</f>
        <v>22079.4</v>
      </c>
      <c r="I105" s="24">
        <f>21088.8</f>
        <v>21088.8</v>
      </c>
      <c r="J105" s="24">
        <v>21672.2</v>
      </c>
      <c r="K105" s="24">
        <v>21794.3</v>
      </c>
      <c r="L105" s="24">
        <f t="shared" si="4"/>
        <v>86634.70000000001</v>
      </c>
      <c r="M105" s="45"/>
    </row>
    <row r="106" spans="1:13" ht="36">
      <c r="A106" s="66" t="s">
        <v>206</v>
      </c>
      <c r="B106" s="68" t="s">
        <v>207</v>
      </c>
      <c r="C106" s="68" t="s">
        <v>36</v>
      </c>
      <c r="D106" s="44" t="s">
        <v>182</v>
      </c>
      <c r="E106" s="44" t="s">
        <v>38</v>
      </c>
      <c r="F106" s="44" t="s">
        <v>186</v>
      </c>
      <c r="G106" s="44" t="s">
        <v>42</v>
      </c>
      <c r="H106" s="24">
        <v>600</v>
      </c>
      <c r="I106" s="24">
        <v>600</v>
      </c>
      <c r="J106" s="24">
        <v>600</v>
      </c>
      <c r="K106" s="24">
        <v>600</v>
      </c>
      <c r="L106" s="24">
        <f>SUM(H106:K106)</f>
        <v>2400</v>
      </c>
      <c r="M106" s="45"/>
    </row>
    <row r="107" spans="1:12" ht="33.75">
      <c r="A107" s="37" t="s">
        <v>208</v>
      </c>
      <c r="B107" s="64" t="s">
        <v>209</v>
      </c>
      <c r="C107" s="68"/>
      <c r="D107" s="44"/>
      <c r="E107" s="80"/>
      <c r="F107" s="80"/>
      <c r="G107" s="80"/>
      <c r="H107" s="24">
        <v>0</v>
      </c>
      <c r="I107" s="24">
        <v>0</v>
      </c>
      <c r="J107" s="24">
        <v>0</v>
      </c>
      <c r="K107" s="24">
        <v>0</v>
      </c>
      <c r="L107" s="24">
        <f>SUM(H107:K107)</f>
        <v>0</v>
      </c>
    </row>
    <row r="108" spans="1:12" ht="41.25" customHeight="1" hidden="1" outlineLevel="1">
      <c r="A108" s="66" t="s">
        <v>210</v>
      </c>
      <c r="B108" s="41" t="s">
        <v>211</v>
      </c>
      <c r="C108" s="81"/>
      <c r="D108" s="80"/>
      <c r="E108" s="80"/>
      <c r="F108" s="80"/>
      <c r="G108" s="80"/>
      <c r="H108" s="82"/>
      <c r="I108" s="82"/>
      <c r="J108" s="82"/>
      <c r="K108" s="82"/>
      <c r="L108" s="82"/>
    </row>
    <row r="109" ht="15.75">
      <c r="L109" s="83" t="s">
        <v>212</v>
      </c>
    </row>
  </sheetData>
  <sheetProtection selectLockedCells="1" selectUnlockedCells="1"/>
  <autoFilter ref="A8:M109"/>
  <mergeCells count="27">
    <mergeCell ref="A1:L1"/>
    <mergeCell ref="A4:L4"/>
    <mergeCell ref="A6:A7"/>
    <mergeCell ref="B6:B7"/>
    <mergeCell ref="C6:C7"/>
    <mergeCell ref="D6:G6"/>
    <mergeCell ref="H6:L6"/>
    <mergeCell ref="A17:A20"/>
    <mergeCell ref="B17:B20"/>
    <mergeCell ref="A37:A40"/>
    <mergeCell ref="B37:B40"/>
    <mergeCell ref="C37:C40"/>
    <mergeCell ref="A51:A55"/>
    <mergeCell ref="B51:B55"/>
    <mergeCell ref="A79:A80"/>
    <mergeCell ref="B79:B80"/>
    <mergeCell ref="C79:C80"/>
    <mergeCell ref="A84:A85"/>
    <mergeCell ref="B84:B85"/>
    <mergeCell ref="C84:C85"/>
    <mergeCell ref="A86:A87"/>
    <mergeCell ref="B86:B87"/>
    <mergeCell ref="C86:C87"/>
    <mergeCell ref="A96:A98"/>
    <mergeCell ref="B96:B98"/>
    <mergeCell ref="A101:A104"/>
    <mergeCell ref="B101:B104"/>
  </mergeCells>
  <printOptions horizontalCentered="1"/>
  <pageMargins left="0.31527777777777777" right="0.31527777777777777" top="0.3541666666666667" bottom="0.3541666666666667" header="0.5118055555555555" footer="0.5118055555555555"/>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Lubov Matveeva</cp:lastModifiedBy>
  <cp:lastPrinted>2013-07-15T12:13:35Z</cp:lastPrinted>
  <dcterms:modified xsi:type="dcterms:W3CDTF">2013-07-15T12:15:11Z</dcterms:modified>
  <cp:category/>
  <cp:version/>
  <cp:contentType/>
  <cp:contentStatus/>
  <cp:revision>5</cp:revision>
</cp:coreProperties>
</file>