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5" activeTab="0"/>
  </bookViews>
  <sheets>
    <sheet name="таблица 5 (рес.обесп) " sheetId="1" r:id="rId1"/>
  </sheets>
  <definedNames>
    <definedName name="_xlnm.Print_Area" localSheetId="0">'таблица 5 (рес.обесп) '!$A$1:$R$78</definedName>
    <definedName name="_xlnm.Print_Titles" localSheetId="0">'таблица 5 (рес.обесп) '!$5:$7</definedName>
    <definedName name="_xlnm._FilterDatabase" localSheetId="0" hidden="1">'таблица 5 (рес.обесп) '!$A$7:$R$7</definedName>
  </definedNames>
  <calcPr fullCalcOnLoad="1"/>
</workbook>
</file>

<file path=xl/sharedStrings.xml><?xml version="1.0" encoding="utf-8"?>
<sst xmlns="http://schemas.openxmlformats.org/spreadsheetml/2006/main" count="235" uniqueCount="106">
  <si>
    <t xml:space="preserve"> 5 таблица</t>
  </si>
  <si>
    <t>Коми Республикаса республиканскӧй сьӧмкуд тшӧт весьтӧ Канму уджтас збыльмӧдӧм сьӧмӧн могмӧдӧм (сюрс шайт)</t>
  </si>
  <si>
    <t>Статус</t>
  </si>
  <si>
    <t>Канму уджтаслӧн, канму уджтасса уджтасувлӧн, дыр кадся республиканскӧй торъя мога уджтаслӧн (дыр кадся республиканскӧй торъя мога уджтасса уджтасувлӧн), ведомстволӧн торъя мога уджтасса, медшӧр мероприятиелӧн ним</t>
  </si>
  <si>
    <t>Кывкутӧмӧн збыльмӧдысь, мӧд збыльмӧдысьяс, 
заказ вӧчысь-координируйтысь</t>
  </si>
  <si>
    <t>Сьӧмкуд классификация код</t>
  </si>
  <si>
    <t>Расходы
(тыс. руб.), годы</t>
  </si>
  <si>
    <t>Апрельская сессия Госсовета 2013</t>
  </si>
  <si>
    <t>Рӧскод (сюрс шайт), вояс</t>
  </si>
  <si>
    <t>ГРБС</t>
  </si>
  <si>
    <t>Рз
Пр</t>
  </si>
  <si>
    <t>ЦСР</t>
  </si>
  <si>
    <t>ВР</t>
  </si>
  <si>
    <t>Канму уджтас</t>
  </si>
  <si>
    <t xml:space="preserve">«Мортӧс ёнмӧдӧм да спорт сӧвмӧдӧм» Коми Республикаса канму уджтас
</t>
  </si>
  <si>
    <t>ставыс</t>
  </si>
  <si>
    <t>Х</t>
  </si>
  <si>
    <t xml:space="preserve">канму уджтасса кывкутӧмӧн збыльмӧдысь  Коми Республикаса спорт да мортӧс ёнмӧдан агентство </t>
  </si>
  <si>
    <t>Коми Республикаса архитектура, стрӧитчӧм да коммунальнӧй овмӧс министерство</t>
  </si>
  <si>
    <t>Министерство здравоохранения Республики Коми</t>
  </si>
  <si>
    <t>Коми Республикаса йӧзӧс велӧдан министерство</t>
  </si>
  <si>
    <t>Коми Республикаса культура министерство</t>
  </si>
  <si>
    <t>Коми Республикаса печать да юӧр сетан агентство</t>
  </si>
  <si>
    <t>1 уджтасув</t>
  </si>
  <si>
    <t xml:space="preserve"> «Мортӧс ёнмӧдан да спорт инфраструктура сӧвмӧдӧм»</t>
  </si>
  <si>
    <t xml:space="preserve">канму уджтасса кывкутӧмӧн збыльмӧдысь Коми Республикаса спорт да мортӧс ёнмӧдан агентство </t>
  </si>
  <si>
    <t>Медшӧр мероприятиеяс</t>
  </si>
  <si>
    <t>Спорт объектъяс стрӧитӧм да выльмӧдӧм</t>
  </si>
  <si>
    <t>1101    1102
1103</t>
  </si>
  <si>
    <t>1020102    1020101</t>
  </si>
  <si>
    <t xml:space="preserve">523
411  </t>
  </si>
  <si>
    <t xml:space="preserve">Уджалысь  канму спорт стрӧйбаяс ӧніяӧдӧм </t>
  </si>
  <si>
    <t xml:space="preserve">Коми Республикаса спорт да мортӧс ёнмӧдан агентство </t>
  </si>
  <si>
    <t xml:space="preserve">Уджалысь  муниципальнӧй спорт стрӧйбаяс ӧніяӧдӧм </t>
  </si>
  <si>
    <r>
      <t>С</t>
    </r>
    <r>
      <rPr>
        <sz val="10"/>
        <color indexed="8"/>
        <rFont val="Times New Roman"/>
        <family val="1"/>
      </rPr>
      <t>порт нырвизя канму  учреждениеяс спорт оборудованиеӧн да транспортӧн могмӧдӧм</t>
    </r>
  </si>
  <si>
    <t>Спорт нырвизя муниципальнӧй учреждениеяс да муниципальнӧй юкӧнъяс спорт оборудованиеӧн да транспортӧн могмӧдӧм</t>
  </si>
  <si>
    <t>5129700</t>
  </si>
  <si>
    <t>2 уджтасув</t>
  </si>
  <si>
    <t xml:space="preserve">«Уна йӧза мортӧс ёнмӧдан культура»  </t>
  </si>
  <si>
    <t>Мортӧс ёнмӧдан да спорт юкӧнын Коми Республикаса олӧмӧ пӧртысь власьт органъяслӧн меставывса асвеськӧдлан органъяскӧд да юридическӧй кывкутысьяскӧд ӧтув йитӧд кутӧм бурмӧдӧм</t>
  </si>
  <si>
    <t>Спорт федерацияяс аккредитуйтӧм</t>
  </si>
  <si>
    <t>Мортӧс ёнмӧдан да спорт нырвизя учреждениеясӧн канму услугаяс сетӧм (уджъяс вӧчӧм)</t>
  </si>
  <si>
    <t>1101</t>
  </si>
  <si>
    <t>4829900</t>
  </si>
  <si>
    <t>Мортӧс ёнмӧдан да спорт нырвизя учреждениеяслысь материально-техническӧй подувсӧ бурмӧдӧм</t>
  </si>
  <si>
    <t>5210115</t>
  </si>
  <si>
    <t>Коми Республикаса йӧз пӧвстын мортӧс ёнмӧдан культура да спорт пропагандируйтӧм да паськӧдӧм</t>
  </si>
  <si>
    <t>1201</t>
  </si>
  <si>
    <t>4530100</t>
  </si>
  <si>
    <t>Коми Республикаын спорт йылысь выльторъяс оперативнӧя йӧзӧдӧм могысь Коми Республикаса печать да юӧр сетан агентстволӧн официальнӧй сайт уджалӧм (домен ним видзӧм, серверын сайт йӧзӧдӧм)</t>
  </si>
  <si>
    <t xml:space="preserve">Йӧзлы, сы лыдын  дзоньвидзалунын дзескӧдӧм позянлунъяса йӧзлы, мортӧс ёнмӧдан да дзоньвидзалун бурмӧдан да спорт мероприятиеяс котыртӧм, нуӧдӧм </t>
  </si>
  <si>
    <t>612</t>
  </si>
  <si>
    <t>0801</t>
  </si>
  <si>
    <t>4409900</t>
  </si>
  <si>
    <t>0709</t>
  </si>
  <si>
    <t>4360900</t>
  </si>
  <si>
    <t>Мортӧс ёнмӧдан да спорт юкӧнын специалистъясӧс дасьтӧм да выльысь велӧдӧм котыртӧм</t>
  </si>
  <si>
    <t>Специалистъяслы, кодъяс уджлӧны ведомство улӧ видзӧдтӧг  мортӧс ёнмӧдан да спорт юкӧнын, семинаръяс, гӧгрӧс пызанъяс котыртӧм да нуӧдӧм</t>
  </si>
  <si>
    <t>3 уджтасув</t>
  </si>
  <si>
    <t xml:space="preserve"> «Спорт резерв дасьтӧм»</t>
  </si>
  <si>
    <t>проверка</t>
  </si>
  <si>
    <t xml:space="preserve">канму уджтасса кывкутӧмӧн збыльмӧдысь                         Коми Республикаса спорт да мортӧс ёнмӧдан агентство </t>
  </si>
  <si>
    <t>Мортӧс ёнмӧдан да спорт нырвизя челядьлы содтӧд тӧдӧмлун сетан учреждениеясӧн канму услугаяс сетӧм (уджъяс вӧчӧм)</t>
  </si>
  <si>
    <t>0702</t>
  </si>
  <si>
    <t>611</t>
  </si>
  <si>
    <t>621</t>
  </si>
  <si>
    <t>622</t>
  </si>
  <si>
    <t>Мортӧс ёнмӧдан да спорт нырвизя учреждениеясӧн канму услуга сетӧм (удж вӧчӧм)</t>
  </si>
  <si>
    <t>1103</t>
  </si>
  <si>
    <t>Мортӧс ёнмӧдан да спорт нырвизя челядьлы содтӧд тӧдӧмлун сетан канму учреждениеяслысь материально-техническӧй подувсӧ бурмӧдӧм</t>
  </si>
  <si>
    <t>4239900</t>
  </si>
  <si>
    <t>Мортӧс ёнмӧдан да спорт нырвизя челядьлы содтӧд тӧдӧмлун сетан муниципальнӧй учреждениеяслысь материально-техническӧй подувсӧ бурмӧдӧм</t>
  </si>
  <si>
    <t>1102</t>
  </si>
  <si>
    <t>Спорт резерв дасьтан системалы вылын квалификацияа тренеръясӧс дасьтӧм</t>
  </si>
  <si>
    <t>Вылын квалификацияа специалистъяс локтігкежлӧ бур материальнӧй да моральнӧй ышӧдӧмъяс лӧсьӧдӧм</t>
  </si>
  <si>
    <t>Перспективнӧй да енбиа спортсменъясӧс аддзӧм могысь муниципальнӧйкостса да республиканскӧй ордйысьӧмъяс официальнӧя котыртӧм, нуӧдӧм</t>
  </si>
  <si>
    <t>4 уджтасув</t>
  </si>
  <si>
    <t xml:space="preserve">«Медвылыс вермӧмъяса спорт»  </t>
  </si>
  <si>
    <t>Мортӧс ёнмӧдан да спорт нырвизя учреждениеясӧн вылын класса спортсменъясӧс дасьтӧм кузя канму услугаяс сетӧм (уджъяс вӧчӧм)</t>
  </si>
  <si>
    <t xml:space="preserve">
611</t>
  </si>
  <si>
    <t xml:space="preserve">
621</t>
  </si>
  <si>
    <t>Профессиональнӧй медвылыс вермӧмъяса спорт сӧвмӧдӧмлы канмусянь отсӧг сетӧм</t>
  </si>
  <si>
    <t>5128600</t>
  </si>
  <si>
    <t>Профессиональнӧй командаяс да ЧТСШ костын ӧтув йитӧд кутӧм бурмӧдӧм кузя план лӧсьӧдӧм</t>
  </si>
  <si>
    <t>"Медвылыс вермӧмъяса спорт юкӧнын Коми Республикаса торъя стипендияяс йылысь" Коми Республикаса Веськӧдлан котырлӧн 2011 во кӧч тӧлысь 12 лунся 378 №-а шуӧм збыльмӧдӧм</t>
  </si>
  <si>
    <t xml:space="preserve">
1103</t>
  </si>
  <si>
    <t xml:space="preserve">
8551600</t>
  </si>
  <si>
    <t xml:space="preserve">
330</t>
  </si>
  <si>
    <t>«Коми Республикаын мортӧс ёнмӧдан да спорт юкӧнын ӧткымын юалӧм йылысь» Коми Республикаса Оланпас збыльмӧдан мераяс йылысь» Коми Республикаса Веськӧдлан котырлӧн 2008 во вӧльгым тӧлысь 17 лунся 316 №-а шуӧм збыльмӧдӧм</t>
  </si>
  <si>
    <t xml:space="preserve">
1103</t>
  </si>
  <si>
    <t xml:space="preserve">
8551200</t>
  </si>
  <si>
    <t>«Коми Республика водзын торъя заслугаясысь спортсменъясӧс нэмчӧжся быд тӧлысся сьӧмӧн могмӧдӧм йылысь» Коми Республикаса 2007 во рака тӧлысь 5 лунся 10-РЗ №-а Оланпас збыльмӧдӧм</t>
  </si>
  <si>
    <t>0113</t>
  </si>
  <si>
    <t>8550200</t>
  </si>
  <si>
    <t>Коми Республика мутасын котыртӧм да нуӧдӧм, а сідзжӧ дінмукостса, ставроссияса да войтыркостса официальнӧй ордйысьӧмъясын Коми Республикаса спортменъяслӧн петкӧдчӧм</t>
  </si>
  <si>
    <t xml:space="preserve">
622</t>
  </si>
  <si>
    <t>5 уджтасув</t>
  </si>
  <si>
    <t>«Канму уджтас збыльмӧдӧм»</t>
  </si>
  <si>
    <t>Коми Республикаса канму власьт органъяслы, Коми Республикаса Юралысьӧн либӧ Коми Республикаса Веськӧдлан котырӧн артмӧдӧм Коми Республикаса канму органъяслы урчитӧм уджъяс юкӧнын юрнуӧдӧм да веськӧдлӧм</t>
  </si>
  <si>
    <t>0020400
4520400</t>
  </si>
  <si>
    <t>121
122 242
244</t>
  </si>
  <si>
    <t xml:space="preserve">Коми Республикаса спорт да мортӧс ёнмӧдан агентстволы канмулысь мукӧд кӧсйысьӧм вӧчӧм </t>
  </si>
  <si>
    <t>0920300</t>
  </si>
  <si>
    <t xml:space="preserve">
244
831</t>
  </si>
  <si>
    <t>Уджтас збыльмӧдӧмын эффективносьт донъялӧмсӧ анализируйтӧм (водзвыв мониторинг) да уджтасъяслысь петкӧдласъяс веськӧдӧм кузя вӧзйӧмъяс пыртӧм (веськыда планируйтӧм да медбӧръя бӧртасъяс збыльмӧдан мониторинг )</t>
  </si>
  <si>
    <t xml:space="preserve">                           ".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</si>
</sst>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.0"/>
    <numFmt numFmtId="168" formatCode="#,##0.0"/>
  </numFmts>
  <fonts count="1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7">
    <xf numFmtId="164" fontId="0" fillId="0" borderId="0" xfId="0" applyAlignment="1">
      <alignment/>
    </xf>
    <xf numFmtId="164" fontId="2" fillId="0" borderId="0" xfId="0" applyFont="1" applyFill="1" applyAlignment="1">
      <alignment wrapText="1"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2" fillId="2" borderId="0" xfId="0" applyFont="1" applyFill="1" applyAlignment="1">
      <alignment horizontal="right"/>
    </xf>
    <xf numFmtId="164" fontId="2" fillId="0" borderId="0" xfId="0" applyFont="1" applyFill="1" applyAlignment="1">
      <alignment horizontal="right"/>
    </xf>
    <xf numFmtId="164" fontId="5" fillId="0" borderId="0" xfId="0" applyFont="1" applyFill="1" applyAlignment="1">
      <alignment/>
    </xf>
    <xf numFmtId="164" fontId="5" fillId="2" borderId="0" xfId="0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4" fontId="2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vertical="center"/>
    </xf>
    <xf numFmtId="164" fontId="8" fillId="0" borderId="0" xfId="0" applyFont="1" applyFill="1" applyAlignment="1">
      <alignment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left" vertical="top" wrapText="1"/>
    </xf>
    <xf numFmtId="164" fontId="2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167" fontId="5" fillId="2" borderId="1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/>
    </xf>
    <xf numFmtId="167" fontId="8" fillId="0" borderId="0" xfId="0" applyNumberFormat="1" applyFont="1" applyFill="1" applyAlignment="1">
      <alignment/>
    </xf>
    <xf numFmtId="166" fontId="5" fillId="0" borderId="1" xfId="0" applyNumberFormat="1" applyFont="1" applyFill="1" applyBorder="1" applyAlignment="1">
      <alignment/>
    </xf>
    <xf numFmtId="164" fontId="2" fillId="3" borderId="1" xfId="0" applyFont="1" applyFill="1" applyBorder="1" applyAlignment="1">
      <alignment horizontal="left" vertical="center" wrapText="1"/>
    </xf>
    <xf numFmtId="164" fontId="2" fillId="3" borderId="1" xfId="0" applyFont="1" applyFill="1" applyBorder="1" applyAlignment="1">
      <alignment horizontal="left" vertical="top" wrapText="1"/>
    </xf>
    <xf numFmtId="164" fontId="9" fillId="3" borderId="1" xfId="0" applyFont="1" applyFill="1" applyBorder="1" applyAlignment="1">
      <alignment vertical="top" wrapText="1"/>
    </xf>
    <xf numFmtId="164" fontId="5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/>
    </xf>
    <xf numFmtId="167" fontId="5" fillId="3" borderId="1" xfId="0" applyNumberFormat="1" applyFont="1" applyFill="1" applyBorder="1" applyAlignment="1">
      <alignment horizontal="center"/>
    </xf>
    <xf numFmtId="167" fontId="3" fillId="3" borderId="0" xfId="0" applyNumberFormat="1" applyFont="1" applyFill="1" applyAlignment="1">
      <alignment/>
    </xf>
    <xf numFmtId="164" fontId="8" fillId="3" borderId="0" xfId="0" applyFont="1" applyFill="1" applyAlignment="1">
      <alignment/>
    </xf>
    <xf numFmtId="164" fontId="3" fillId="3" borderId="0" xfId="0" applyFont="1" applyFill="1" applyAlignment="1">
      <alignment/>
    </xf>
    <xf numFmtId="167" fontId="8" fillId="3" borderId="0" xfId="0" applyNumberFormat="1" applyFont="1" applyFill="1" applyAlignment="1">
      <alignment/>
    </xf>
    <xf numFmtId="164" fontId="2" fillId="3" borderId="1" xfId="0" applyFont="1" applyFill="1" applyBorder="1" applyAlignment="1">
      <alignment vertical="top" wrapText="1"/>
    </xf>
    <xf numFmtId="164" fontId="2" fillId="3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wrapText="1"/>
    </xf>
    <xf numFmtId="166" fontId="2" fillId="3" borderId="1" xfId="0" applyNumberFormat="1" applyFont="1" applyFill="1" applyBorder="1" applyAlignment="1">
      <alignment/>
    </xf>
    <xf numFmtId="167" fontId="2" fillId="3" borderId="1" xfId="0" applyNumberFormat="1" applyFont="1" applyFill="1" applyBorder="1" applyAlignment="1">
      <alignment horizontal="center"/>
    </xf>
    <xf numFmtId="164" fontId="2" fillId="3" borderId="1" xfId="0" applyFont="1" applyFill="1" applyBorder="1" applyAlignment="1">
      <alignment horizontal="justify" vertical="top" wrapText="1"/>
    </xf>
    <xf numFmtId="164" fontId="2" fillId="3" borderId="0" xfId="0" applyFont="1" applyFill="1" applyAlignment="1">
      <alignment horizontal="center" wrapText="1"/>
    </xf>
    <xf numFmtId="165" fontId="2" fillId="3" borderId="1" xfId="0" applyNumberFormat="1" applyFont="1" applyFill="1" applyBorder="1" applyAlignment="1">
      <alignment horizontal="center"/>
    </xf>
    <xf numFmtId="164" fontId="4" fillId="3" borderId="1" xfId="0" applyFont="1" applyFill="1" applyBorder="1" applyAlignment="1">
      <alignment horizontal="left" vertical="top" wrapText="1"/>
    </xf>
    <xf numFmtId="164" fontId="2" fillId="3" borderId="1" xfId="0" applyFont="1" applyFill="1" applyBorder="1" applyAlignment="1">
      <alignment horizontal="left" vertical="top" wrapText="1"/>
    </xf>
    <xf numFmtId="164" fontId="5" fillId="3" borderId="1" xfId="0" applyFont="1" applyFill="1" applyBorder="1" applyAlignment="1">
      <alignment horizontal="left" vertical="top" wrapText="1"/>
    </xf>
    <xf numFmtId="166" fontId="5" fillId="3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left" vertical="top" wrapText="1"/>
    </xf>
    <xf numFmtId="164" fontId="2" fillId="0" borderId="1" xfId="0" applyFont="1" applyFill="1" applyBorder="1" applyAlignment="1">
      <alignment horizontal="left"/>
    </xf>
    <xf numFmtId="164" fontId="2" fillId="0" borderId="1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vertical="top" wrapText="1"/>
    </xf>
    <xf numFmtId="164" fontId="11" fillId="0" borderId="0" xfId="0" applyFont="1" applyFill="1" applyAlignment="1">
      <alignment/>
    </xf>
    <xf numFmtId="164" fontId="2" fillId="0" borderId="3" xfId="0" applyFont="1" applyFill="1" applyBorder="1" applyAlignment="1">
      <alignment vertical="top" wrapText="1"/>
    </xf>
    <xf numFmtId="164" fontId="2" fillId="0" borderId="1" xfId="0" applyFont="1" applyFill="1" applyBorder="1" applyAlignment="1">
      <alignment horizontal="center" wrapText="1"/>
    </xf>
    <xf numFmtId="168" fontId="8" fillId="0" borderId="0" xfId="0" applyNumberFormat="1" applyFont="1" applyFill="1" applyAlignment="1">
      <alignment/>
    </xf>
    <xf numFmtId="164" fontId="2" fillId="0" borderId="4" xfId="0" applyFont="1" applyFill="1" applyBorder="1" applyAlignment="1">
      <alignment horizontal="left" vertical="top" wrapText="1"/>
    </xf>
    <xf numFmtId="164" fontId="2" fillId="0" borderId="5" xfId="0" applyFont="1" applyFill="1" applyBorder="1" applyAlignment="1">
      <alignment horizontal="left" vertical="top" wrapText="1"/>
    </xf>
    <xf numFmtId="165" fontId="5" fillId="0" borderId="6" xfId="0" applyNumberFormat="1" applyFont="1" applyFill="1" applyBorder="1" applyAlignment="1">
      <alignment horizontal="center" vertical="top" wrapText="1"/>
    </xf>
    <xf numFmtId="164" fontId="2" fillId="0" borderId="7" xfId="0" applyFont="1" applyFill="1" applyBorder="1" applyAlignment="1">
      <alignment vertical="top" wrapText="1"/>
    </xf>
    <xf numFmtId="165" fontId="2" fillId="0" borderId="2" xfId="0" applyNumberFormat="1" applyFont="1" applyFill="1" applyBorder="1" applyAlignment="1">
      <alignment horizontal="center" vertical="top" wrapText="1"/>
    </xf>
    <xf numFmtId="164" fontId="2" fillId="0" borderId="8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wrapText="1"/>
    </xf>
    <xf numFmtId="164" fontId="8" fillId="0" borderId="1" xfId="0" applyFont="1" applyFill="1" applyBorder="1" applyAlignment="1">
      <alignment horizontal="center"/>
    </xf>
    <xf numFmtId="166" fontId="8" fillId="4" borderId="1" xfId="0" applyNumberFormat="1" applyFont="1" applyFill="1" applyBorder="1" applyAlignment="1">
      <alignment/>
    </xf>
    <xf numFmtId="164" fontId="8" fillId="0" borderId="1" xfId="0" applyFont="1" applyFill="1" applyBorder="1" applyAlignment="1">
      <alignment/>
    </xf>
    <xf numFmtId="166" fontId="8" fillId="0" borderId="0" xfId="0" applyNumberFormat="1" applyFont="1" applyFill="1" applyAlignment="1">
      <alignment/>
    </xf>
    <xf numFmtId="164" fontId="2" fillId="0" borderId="0" xfId="0" applyFont="1" applyFill="1" applyAlignment="1">
      <alignment horizontal="center" wrapText="1"/>
    </xf>
    <xf numFmtId="164" fontId="5" fillId="0" borderId="1" xfId="0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center" wrapText="1"/>
    </xf>
    <xf numFmtId="167" fontId="2" fillId="2" borderId="1" xfId="0" applyNumberFormat="1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/>
    </xf>
    <xf numFmtId="166" fontId="8" fillId="5" borderId="0" xfId="0" applyNumberFormat="1" applyFont="1" applyFill="1" applyAlignment="1">
      <alignment/>
    </xf>
    <xf numFmtId="165" fontId="5" fillId="0" borderId="1" xfId="0" applyNumberFormat="1" applyFont="1" applyFill="1" applyBorder="1" applyAlignment="1">
      <alignment horizontal="center" vertical="top" wrapText="1"/>
    </xf>
    <xf numFmtId="166" fontId="8" fillId="6" borderId="1" xfId="0" applyNumberFormat="1" applyFont="1" applyFill="1" applyBorder="1" applyAlignment="1">
      <alignment/>
    </xf>
    <xf numFmtId="166" fontId="8" fillId="6" borderId="0" xfId="0" applyNumberFormat="1" applyFont="1" applyFill="1" applyAlignment="1">
      <alignment/>
    </xf>
    <xf numFmtId="165" fontId="2" fillId="0" borderId="9" xfId="0" applyNumberFormat="1" applyFont="1" applyFill="1" applyBorder="1" applyAlignment="1">
      <alignment vertical="top" wrapText="1"/>
    </xf>
    <xf numFmtId="166" fontId="8" fillId="0" borderId="1" xfId="0" applyNumberFormat="1" applyFont="1" applyFill="1" applyBorder="1" applyAlignment="1">
      <alignment horizontal="right" vertical="top"/>
    </xf>
    <xf numFmtId="164" fontId="8" fillId="0" borderId="1" xfId="0" applyFont="1" applyFill="1" applyBorder="1" applyAlignment="1">
      <alignment horizontal="right" vertical="top"/>
    </xf>
    <xf numFmtId="165" fontId="2" fillId="0" borderId="9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horizontal="center" wrapText="1"/>
    </xf>
    <xf numFmtId="167" fontId="5" fillId="2" borderId="1" xfId="0" applyNumberFormat="1" applyFont="1" applyFill="1" applyBorder="1" applyAlignment="1">
      <alignment horizontal="center" wrapText="1"/>
    </xf>
    <xf numFmtId="166" fontId="8" fillId="5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2" fillId="0" borderId="0" xfId="0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vertical="top" wrapText="1"/>
    </xf>
    <xf numFmtId="164" fontId="5" fillId="0" borderId="1" xfId="0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center" vertical="top"/>
    </xf>
    <xf numFmtId="167" fontId="2" fillId="0" borderId="1" xfId="0" applyNumberFormat="1" applyFont="1" applyFill="1" applyBorder="1" applyAlignment="1">
      <alignment horizontal="center" vertical="top" wrapText="1"/>
    </xf>
    <xf numFmtId="167" fontId="2" fillId="2" borderId="1" xfId="0" applyNumberFormat="1" applyFont="1" applyFill="1" applyBorder="1" applyAlignment="1">
      <alignment horizontal="center" vertical="top" wrapText="1"/>
    </xf>
    <xf numFmtId="164" fontId="3" fillId="0" borderId="0" xfId="0" applyFont="1" applyFill="1" applyAlignment="1">
      <alignment horizontal="center" vertical="top"/>
    </xf>
    <xf numFmtId="166" fontId="8" fillId="4" borderId="1" xfId="0" applyNumberFormat="1" applyFont="1" applyFill="1" applyBorder="1" applyAlignment="1">
      <alignment horizontal="right" vertical="top"/>
    </xf>
    <xf numFmtId="166" fontId="8" fillId="4" borderId="0" xfId="0" applyNumberFormat="1" applyFont="1" applyFill="1" applyAlignment="1">
      <alignment horizontal="center" vertical="top"/>
    </xf>
    <xf numFmtId="164" fontId="11" fillId="0" borderId="0" xfId="0" applyFont="1" applyFill="1" applyAlignment="1">
      <alignment horizontal="center" vertical="top"/>
    </xf>
    <xf numFmtId="164" fontId="2" fillId="0" borderId="1" xfId="0" applyFont="1" applyFill="1" applyBorder="1" applyAlignment="1">
      <alignment wrapText="1"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/>
    </xf>
    <xf numFmtId="164" fontId="2" fillId="2" borderId="1" xfId="0" applyFont="1" applyFill="1" applyBorder="1" applyAlignment="1">
      <alignment/>
    </xf>
    <xf numFmtId="166" fontId="8" fillId="6" borderId="1" xfId="0" applyNumberFormat="1" applyFont="1" applyFill="1" applyBorder="1" applyAlignment="1">
      <alignment horizontal="right"/>
    </xf>
    <xf numFmtId="164" fontId="4" fillId="0" borderId="1" xfId="0" applyFont="1" applyFill="1" applyBorder="1" applyAlignment="1">
      <alignment horizontal="right"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left" wrapText="1"/>
    </xf>
    <xf numFmtId="167" fontId="5" fillId="3" borderId="1" xfId="0" applyNumberFormat="1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right"/>
    </xf>
    <xf numFmtId="164" fontId="8" fillId="0" borderId="1" xfId="0" applyFont="1" applyFill="1" applyBorder="1" applyAlignment="1">
      <alignment horizontal="right"/>
    </xf>
    <xf numFmtId="168" fontId="5" fillId="0" borderId="1" xfId="0" applyNumberFormat="1" applyFont="1" applyFill="1" applyBorder="1" applyAlignment="1">
      <alignment horizontal="center"/>
    </xf>
    <xf numFmtId="168" fontId="5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6" fontId="8" fillId="7" borderId="1" xfId="0" applyNumberFormat="1" applyFont="1" applyFill="1" applyBorder="1" applyAlignment="1">
      <alignment/>
    </xf>
    <xf numFmtId="166" fontId="8" fillId="7" borderId="0" xfId="0" applyNumberFormat="1" applyFont="1" applyFill="1" applyAlignment="1">
      <alignment/>
    </xf>
    <xf numFmtId="164" fontId="3" fillId="0" borderId="0" xfId="0" applyFont="1" applyFill="1" applyAlignment="1">
      <alignment wrapText="1"/>
    </xf>
    <xf numFmtId="164" fontId="2" fillId="0" borderId="10" xfId="0" applyFont="1" applyFill="1" applyBorder="1" applyAlignment="1">
      <alignment vertical="top" wrapText="1"/>
    </xf>
    <xf numFmtId="164" fontId="2" fillId="0" borderId="1" xfId="0" applyFont="1" applyBorder="1" applyAlignment="1">
      <alignment horizontal="center"/>
    </xf>
    <xf numFmtId="164" fontId="2" fillId="2" borderId="1" xfId="0" applyFont="1" applyFill="1" applyBorder="1" applyAlignment="1">
      <alignment horizontal="center" vertical="top"/>
    </xf>
    <xf numFmtId="165" fontId="5" fillId="0" borderId="9" xfId="0" applyNumberFormat="1" applyFont="1" applyFill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/>
    </xf>
    <xf numFmtId="164" fontId="9" fillId="0" borderId="1" xfId="0" applyFont="1" applyFill="1" applyBorder="1" applyAlignment="1">
      <alignment vertical="top" wrapText="1"/>
    </xf>
    <xf numFmtId="166" fontId="5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5" fillId="3" borderId="1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164" fontId="2" fillId="0" borderId="10" xfId="0" applyFont="1" applyFill="1" applyBorder="1" applyAlignment="1">
      <alignment vertical="top" wrapText="1"/>
    </xf>
    <xf numFmtId="164" fontId="2" fillId="0" borderId="0" xfId="0" applyFont="1" applyFill="1" applyAlignment="1">
      <alignment horizontal="center"/>
    </xf>
    <xf numFmtId="164" fontId="2" fillId="2" borderId="1" xfId="0" applyFont="1" applyFill="1" applyBorder="1" applyAlignment="1">
      <alignment wrapText="1"/>
    </xf>
    <xf numFmtId="164" fontId="2" fillId="0" borderId="0" xfId="0" applyFont="1" applyFill="1" applyBorder="1" applyAlignment="1">
      <alignment horizontal="justify" wrapText="1"/>
    </xf>
    <xf numFmtId="167" fontId="2" fillId="2" borderId="0" xfId="0" applyNumberFormat="1" applyFont="1" applyFill="1" applyAlignment="1">
      <alignment horizontal="justify" wrapText="1"/>
    </xf>
    <xf numFmtId="164" fontId="2" fillId="2" borderId="0" xfId="0" applyFont="1" applyFill="1" applyAlignment="1">
      <alignment horizontal="justify" wrapText="1"/>
    </xf>
    <xf numFmtId="164" fontId="2" fillId="0" borderId="0" xfId="0" applyFont="1" applyFill="1" applyAlignment="1">
      <alignment horizont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X79"/>
  <sheetViews>
    <sheetView tabSelected="1" zoomScale="118" zoomScaleNormal="118" workbookViewId="0" topLeftCell="A73">
      <selection activeCell="C78" sqref="C78"/>
    </sheetView>
  </sheetViews>
  <sheetFormatPr defaultColWidth="9.00390625" defaultRowHeight="12.75"/>
  <cols>
    <col min="1" max="1" width="12.375" style="1" customWidth="1"/>
    <col min="2" max="2" width="45.125" style="1" customWidth="1"/>
    <col min="3" max="3" width="26.75390625" style="2" customWidth="1"/>
    <col min="4" max="4" width="8.125" style="2" customWidth="1"/>
    <col min="5" max="5" width="7.75390625" style="2" customWidth="1"/>
    <col min="6" max="6" width="9.625" style="3" customWidth="1"/>
    <col min="7" max="7" width="5.875" style="2" customWidth="1"/>
    <col min="8" max="11" width="0" style="2" hidden="1" customWidth="1"/>
    <col min="12" max="14" width="0" style="4" hidden="1" customWidth="1"/>
    <col min="15" max="17" width="11.875" style="2" customWidth="1"/>
    <col min="18" max="18" width="16.75390625" style="5" customWidth="1"/>
    <col min="19" max="21" width="0" style="6" hidden="1" customWidth="1"/>
    <col min="22" max="16384" width="9.125" style="6" customWidth="1"/>
  </cols>
  <sheetData>
    <row r="1" spans="14:17" ht="16.5">
      <c r="N1" s="7"/>
      <c r="Q1" s="8" t="s">
        <v>0</v>
      </c>
    </row>
    <row r="3" spans="1:17" ht="1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1"/>
      <c r="P3" s="11"/>
      <c r="Q3" s="11"/>
    </row>
    <row r="4" ht="9" customHeight="1"/>
    <row r="5" spans="1:18" s="17" customFormat="1" ht="31.5" customHeight="1">
      <c r="A5" s="12" t="s">
        <v>2</v>
      </c>
      <c r="B5" s="12" t="s">
        <v>3</v>
      </c>
      <c r="C5" s="13" t="s">
        <v>4</v>
      </c>
      <c r="D5" s="14" t="s">
        <v>5</v>
      </c>
      <c r="E5" s="14"/>
      <c r="F5" s="14"/>
      <c r="G5" s="14"/>
      <c r="H5" s="12" t="s">
        <v>6</v>
      </c>
      <c r="I5" s="12"/>
      <c r="J5" s="12"/>
      <c r="K5" s="12"/>
      <c r="L5" s="15" t="s">
        <v>7</v>
      </c>
      <c r="M5" s="15"/>
      <c r="N5" s="15"/>
      <c r="O5" s="16" t="s">
        <v>8</v>
      </c>
      <c r="P5" s="16"/>
      <c r="Q5" s="16"/>
      <c r="R5" s="5"/>
    </row>
    <row r="6" spans="1:18" s="17" customFormat="1" ht="79.5" customHeight="1">
      <c r="A6" s="12"/>
      <c r="B6" s="12"/>
      <c r="C6" s="12"/>
      <c r="D6" s="12" t="s">
        <v>9</v>
      </c>
      <c r="E6" s="12" t="s">
        <v>10</v>
      </c>
      <c r="F6" s="18" t="s">
        <v>11</v>
      </c>
      <c r="G6" s="12" t="s">
        <v>12</v>
      </c>
      <c r="H6" s="12">
        <v>2012</v>
      </c>
      <c r="I6" s="12">
        <v>2013</v>
      </c>
      <c r="J6" s="12">
        <v>2014</v>
      </c>
      <c r="K6" s="12">
        <v>2015</v>
      </c>
      <c r="L6" s="19">
        <v>2013</v>
      </c>
      <c r="M6" s="19">
        <v>2014</v>
      </c>
      <c r="N6" s="19">
        <v>2015</v>
      </c>
      <c r="O6" s="12">
        <v>2013</v>
      </c>
      <c r="P6" s="12">
        <v>2014</v>
      </c>
      <c r="Q6" s="12">
        <v>2015</v>
      </c>
      <c r="R6" s="5"/>
    </row>
    <row r="7" spans="1:18" s="17" customFormat="1" ht="16.5">
      <c r="A7" s="12">
        <v>1</v>
      </c>
      <c r="B7" s="12">
        <v>2</v>
      </c>
      <c r="C7" s="20">
        <v>3</v>
      </c>
      <c r="D7" s="20">
        <v>4</v>
      </c>
      <c r="E7" s="20">
        <v>5</v>
      </c>
      <c r="F7" s="21">
        <v>6</v>
      </c>
      <c r="G7" s="20">
        <v>7</v>
      </c>
      <c r="H7" s="20">
        <v>8</v>
      </c>
      <c r="I7" s="20">
        <v>8</v>
      </c>
      <c r="J7" s="20">
        <v>9</v>
      </c>
      <c r="K7" s="20">
        <v>10</v>
      </c>
      <c r="L7" s="22">
        <v>8</v>
      </c>
      <c r="M7" s="22">
        <v>9</v>
      </c>
      <c r="N7" s="22">
        <v>10</v>
      </c>
      <c r="O7" s="20">
        <v>8</v>
      </c>
      <c r="P7" s="20">
        <v>9</v>
      </c>
      <c r="Q7" s="20">
        <v>10</v>
      </c>
      <c r="R7" s="5"/>
    </row>
    <row r="8" spans="1:21" s="17" customFormat="1" ht="19.5" customHeight="1">
      <c r="A8" s="23" t="s">
        <v>13</v>
      </c>
      <c r="B8" s="24" t="s">
        <v>14</v>
      </c>
      <c r="C8" s="25" t="s">
        <v>15</v>
      </c>
      <c r="D8" s="26" t="s">
        <v>16</v>
      </c>
      <c r="E8" s="26" t="s">
        <v>16</v>
      </c>
      <c r="F8" s="27" t="s">
        <v>16</v>
      </c>
      <c r="G8" s="26" t="s">
        <v>16</v>
      </c>
      <c r="H8" s="28">
        <f aca="true" t="shared" si="0" ref="H8:Q8">H15+H23+H44+H60+H74</f>
        <v>1115627.2000000002</v>
      </c>
      <c r="I8" s="29">
        <f t="shared" si="0"/>
        <v>548235.0000000001</v>
      </c>
      <c r="J8" s="29">
        <f t="shared" si="0"/>
        <v>466457.2</v>
      </c>
      <c r="K8" s="29">
        <f t="shared" si="0"/>
        <v>465226.3</v>
      </c>
      <c r="L8" s="30">
        <f t="shared" si="0"/>
        <v>602632.79</v>
      </c>
      <c r="M8" s="30">
        <f t="shared" si="0"/>
        <v>69000</v>
      </c>
      <c r="N8" s="30">
        <f t="shared" si="0"/>
        <v>0</v>
      </c>
      <c r="O8" s="29">
        <f t="shared" si="0"/>
        <v>1120867.8</v>
      </c>
      <c r="P8" s="29">
        <f t="shared" si="0"/>
        <v>535457.2000000001</v>
      </c>
      <c r="Q8" s="29">
        <f t="shared" si="0"/>
        <v>465226.2</v>
      </c>
      <c r="R8" s="31"/>
      <c r="U8" s="32"/>
    </row>
    <row r="9" spans="1:18" s="17" customFormat="1" ht="72" customHeight="1">
      <c r="A9" s="23"/>
      <c r="B9" s="24"/>
      <c r="C9" s="25" t="s">
        <v>17</v>
      </c>
      <c r="D9" s="26">
        <v>864</v>
      </c>
      <c r="E9" s="26" t="s">
        <v>16</v>
      </c>
      <c r="F9" s="27" t="s">
        <v>16</v>
      </c>
      <c r="G9" s="26" t="s">
        <v>16</v>
      </c>
      <c r="H9" s="33">
        <f aca="true" t="shared" si="1" ref="H9:Q9">H24+H45+H61+H75+H16</f>
        <v>353627.19999999995</v>
      </c>
      <c r="I9" s="29">
        <f t="shared" si="1"/>
        <v>362235.00000000006</v>
      </c>
      <c r="J9" s="29">
        <f t="shared" si="1"/>
        <v>366457.2</v>
      </c>
      <c r="K9" s="29">
        <f t="shared" si="1"/>
        <v>365226.3</v>
      </c>
      <c r="L9" s="30">
        <f t="shared" si="1"/>
        <v>117947.19</v>
      </c>
      <c r="M9" s="30">
        <f t="shared" si="1"/>
        <v>0</v>
      </c>
      <c r="N9" s="30">
        <f t="shared" si="1"/>
        <v>0</v>
      </c>
      <c r="O9" s="29">
        <f t="shared" si="1"/>
        <v>480182.19999999995</v>
      </c>
      <c r="P9" s="29">
        <f t="shared" si="1"/>
        <v>366457.2</v>
      </c>
      <c r="Q9" s="29">
        <f t="shared" si="1"/>
        <v>365226.2</v>
      </c>
      <c r="R9" s="31"/>
    </row>
    <row r="10" spans="1:21" s="17" customFormat="1" ht="77.25" customHeight="1">
      <c r="A10" s="23"/>
      <c r="B10" s="24"/>
      <c r="C10" s="34" t="s">
        <v>18</v>
      </c>
      <c r="D10" s="26">
        <v>828</v>
      </c>
      <c r="E10" s="26" t="s">
        <v>16</v>
      </c>
      <c r="F10" s="27" t="s">
        <v>16</v>
      </c>
      <c r="G10" s="26" t="s">
        <v>16</v>
      </c>
      <c r="H10" s="33">
        <f aca="true" t="shared" si="2" ref="H10:Q10">H17</f>
        <v>762000</v>
      </c>
      <c r="I10" s="29">
        <f t="shared" si="2"/>
        <v>186000</v>
      </c>
      <c r="J10" s="29">
        <f t="shared" si="2"/>
        <v>100000</v>
      </c>
      <c r="K10" s="29">
        <f t="shared" si="2"/>
        <v>100000</v>
      </c>
      <c r="L10" s="30">
        <f t="shared" si="2"/>
        <v>481203.6</v>
      </c>
      <c r="M10" s="30">
        <f t="shared" si="2"/>
        <v>69000</v>
      </c>
      <c r="N10" s="30">
        <f t="shared" si="2"/>
        <v>0</v>
      </c>
      <c r="O10" s="29">
        <f>O17</f>
        <v>637203.6</v>
      </c>
      <c r="P10" s="29">
        <f t="shared" si="2"/>
        <v>169000</v>
      </c>
      <c r="Q10" s="29">
        <f t="shared" si="2"/>
        <v>100000</v>
      </c>
      <c r="R10" s="31"/>
      <c r="S10" s="31"/>
      <c r="T10" s="31"/>
      <c r="U10" s="32"/>
    </row>
    <row r="11" spans="1:18" s="17" customFormat="1" ht="45.75" customHeight="1" hidden="1">
      <c r="A11" s="23"/>
      <c r="B11" s="24"/>
      <c r="C11" s="34" t="s">
        <v>19</v>
      </c>
      <c r="D11" s="26"/>
      <c r="E11" s="26" t="s">
        <v>16</v>
      </c>
      <c r="F11" s="27" t="s">
        <v>16</v>
      </c>
      <c r="G11" s="26" t="s">
        <v>16</v>
      </c>
      <c r="H11" s="33"/>
      <c r="I11" s="29"/>
      <c r="J11" s="29"/>
      <c r="K11" s="29"/>
      <c r="L11" s="30"/>
      <c r="M11" s="30"/>
      <c r="N11" s="30"/>
      <c r="O11" s="29"/>
      <c r="P11" s="29"/>
      <c r="Q11" s="29"/>
      <c r="R11" s="31"/>
    </row>
    <row r="12" spans="1:18" s="17" customFormat="1" ht="41.25" customHeight="1">
      <c r="A12" s="23"/>
      <c r="B12" s="24"/>
      <c r="C12" s="34" t="s">
        <v>20</v>
      </c>
      <c r="D12" s="26">
        <v>875</v>
      </c>
      <c r="E12" s="26" t="s">
        <v>16</v>
      </c>
      <c r="F12" s="27" t="s">
        <v>16</v>
      </c>
      <c r="G12" s="26" t="s">
        <v>16</v>
      </c>
      <c r="H12" s="33"/>
      <c r="I12" s="29"/>
      <c r="J12" s="29"/>
      <c r="K12" s="29"/>
      <c r="L12" s="30">
        <f aca="true" t="shared" si="3" ref="L12:Q14">L25</f>
        <v>410</v>
      </c>
      <c r="M12" s="30">
        <f t="shared" si="3"/>
        <v>0</v>
      </c>
      <c r="N12" s="30">
        <f t="shared" si="3"/>
        <v>0</v>
      </c>
      <c r="O12" s="29">
        <f>O25</f>
        <v>410</v>
      </c>
      <c r="P12" s="29">
        <f t="shared" si="3"/>
        <v>0</v>
      </c>
      <c r="Q12" s="29">
        <f t="shared" si="3"/>
        <v>0</v>
      </c>
      <c r="R12" s="31"/>
    </row>
    <row r="13" spans="1:18" s="17" customFormat="1" ht="33" customHeight="1">
      <c r="A13" s="23"/>
      <c r="B13" s="24"/>
      <c r="C13" s="34" t="s">
        <v>21</v>
      </c>
      <c r="D13" s="26">
        <v>856</v>
      </c>
      <c r="E13" s="26" t="s">
        <v>16</v>
      </c>
      <c r="F13" s="27" t="s">
        <v>16</v>
      </c>
      <c r="G13" s="26" t="s">
        <v>16</v>
      </c>
      <c r="H13" s="33"/>
      <c r="I13" s="29"/>
      <c r="J13" s="29"/>
      <c r="K13" s="29"/>
      <c r="L13" s="30">
        <f t="shared" si="3"/>
        <v>2432</v>
      </c>
      <c r="M13" s="30">
        <f t="shared" si="3"/>
        <v>0</v>
      </c>
      <c r="N13" s="30">
        <f t="shared" si="3"/>
        <v>0</v>
      </c>
      <c r="O13" s="29">
        <f t="shared" si="3"/>
        <v>2432</v>
      </c>
      <c r="P13" s="29">
        <f t="shared" si="3"/>
        <v>0</v>
      </c>
      <c r="Q13" s="29">
        <f t="shared" si="3"/>
        <v>0</v>
      </c>
      <c r="R13" s="31"/>
    </row>
    <row r="14" spans="1:18" s="17" customFormat="1" ht="54.75" customHeight="1">
      <c r="A14" s="23"/>
      <c r="B14" s="24"/>
      <c r="C14" s="34" t="s">
        <v>22</v>
      </c>
      <c r="D14" s="26">
        <v>831</v>
      </c>
      <c r="E14" s="26" t="s">
        <v>16</v>
      </c>
      <c r="F14" s="27" t="s">
        <v>16</v>
      </c>
      <c r="G14" s="26" t="s">
        <v>16</v>
      </c>
      <c r="H14" s="33"/>
      <c r="I14" s="29"/>
      <c r="J14" s="29"/>
      <c r="K14" s="29"/>
      <c r="L14" s="30">
        <f t="shared" si="3"/>
        <v>640</v>
      </c>
      <c r="M14" s="30">
        <f t="shared" si="3"/>
        <v>0</v>
      </c>
      <c r="N14" s="30">
        <f t="shared" si="3"/>
        <v>0</v>
      </c>
      <c r="O14" s="29">
        <f t="shared" si="3"/>
        <v>640</v>
      </c>
      <c r="P14" s="29">
        <f t="shared" si="3"/>
        <v>0</v>
      </c>
      <c r="Q14" s="29">
        <f t="shared" si="3"/>
        <v>0</v>
      </c>
      <c r="R14" s="31"/>
    </row>
    <row r="15" spans="1:18" s="42" customFormat="1" ht="26.25" customHeight="1">
      <c r="A15" s="35" t="s">
        <v>23</v>
      </c>
      <c r="B15" s="36" t="s">
        <v>24</v>
      </c>
      <c r="C15" s="25" t="s">
        <v>15</v>
      </c>
      <c r="D15" s="37"/>
      <c r="E15" s="37"/>
      <c r="F15" s="38"/>
      <c r="G15" s="37"/>
      <c r="H15" s="39">
        <f>H16+H17</f>
        <v>780000</v>
      </c>
      <c r="I15" s="40">
        <v>186000</v>
      </c>
      <c r="J15" s="40">
        <f aca="true" t="shared" si="4" ref="J15:Q15">J16+J17</f>
        <v>100000</v>
      </c>
      <c r="K15" s="40">
        <f t="shared" si="4"/>
        <v>100000</v>
      </c>
      <c r="L15" s="40">
        <f t="shared" si="4"/>
        <v>491203.6</v>
      </c>
      <c r="M15" s="40">
        <f t="shared" si="4"/>
        <v>69000</v>
      </c>
      <c r="N15" s="40">
        <f t="shared" si="4"/>
        <v>0</v>
      </c>
      <c r="O15" s="40">
        <f>O16+O17</f>
        <v>647203.6</v>
      </c>
      <c r="P15" s="40">
        <f t="shared" si="4"/>
        <v>169000</v>
      </c>
      <c r="Q15" s="40">
        <f t="shared" si="4"/>
        <v>100000</v>
      </c>
      <c r="R15" s="41"/>
    </row>
    <row r="16" spans="1:24" s="42" customFormat="1" ht="69" customHeight="1">
      <c r="A16" s="35"/>
      <c r="B16" s="36"/>
      <c r="C16" s="25" t="s">
        <v>25</v>
      </c>
      <c r="D16" s="37"/>
      <c r="E16" s="37"/>
      <c r="F16" s="38"/>
      <c r="G16" s="37"/>
      <c r="H16" s="39">
        <v>18000</v>
      </c>
      <c r="I16" s="40">
        <v>0</v>
      </c>
      <c r="J16" s="40">
        <v>0</v>
      </c>
      <c r="K16" s="40">
        <v>0</v>
      </c>
      <c r="L16" s="40">
        <f aca="true" t="shared" si="5" ref="L16:Q16">L22</f>
        <v>10000</v>
      </c>
      <c r="M16" s="40">
        <f t="shared" si="5"/>
        <v>0</v>
      </c>
      <c r="N16" s="40">
        <f t="shared" si="5"/>
        <v>0</v>
      </c>
      <c r="O16" s="40">
        <f t="shared" si="5"/>
        <v>10000</v>
      </c>
      <c r="P16" s="40">
        <f t="shared" si="5"/>
        <v>0</v>
      </c>
      <c r="Q16" s="40">
        <f t="shared" si="5"/>
        <v>0</v>
      </c>
      <c r="R16" s="43"/>
      <c r="V16" s="44"/>
      <c r="W16" s="44"/>
      <c r="X16" s="44"/>
    </row>
    <row r="17" spans="1:18" s="42" customFormat="1" ht="54" customHeight="1">
      <c r="A17" s="35"/>
      <c r="B17" s="36"/>
      <c r="C17" s="34" t="s">
        <v>18</v>
      </c>
      <c r="D17" s="37"/>
      <c r="E17" s="37"/>
      <c r="F17" s="38"/>
      <c r="G17" s="37"/>
      <c r="H17" s="39">
        <v>762000</v>
      </c>
      <c r="I17" s="40">
        <v>186000</v>
      </c>
      <c r="J17" s="40">
        <v>100000</v>
      </c>
      <c r="K17" s="40">
        <v>100000</v>
      </c>
      <c r="L17" s="40">
        <f aca="true" t="shared" si="6" ref="L17:Q17">SUM(L18:L21)</f>
        <v>481203.6</v>
      </c>
      <c r="M17" s="40">
        <f t="shared" si="6"/>
        <v>69000</v>
      </c>
      <c r="N17" s="40">
        <f t="shared" si="6"/>
        <v>0</v>
      </c>
      <c r="O17" s="40">
        <f>SUM(O18:O21)</f>
        <v>637203.6</v>
      </c>
      <c r="P17" s="40">
        <f t="shared" si="6"/>
        <v>169000</v>
      </c>
      <c r="Q17" s="40">
        <f t="shared" si="6"/>
        <v>100000</v>
      </c>
      <c r="R17" s="43"/>
    </row>
    <row r="18" spans="1:18" s="42" customFormat="1" ht="58.5" customHeight="1">
      <c r="A18" s="45" t="s">
        <v>26</v>
      </c>
      <c r="B18" s="35" t="s">
        <v>27</v>
      </c>
      <c r="C18" s="34" t="s">
        <v>18</v>
      </c>
      <c r="D18" s="46">
        <v>828</v>
      </c>
      <c r="E18" s="47" t="s">
        <v>28</v>
      </c>
      <c r="F18" s="48" t="s">
        <v>29</v>
      </c>
      <c r="G18" s="47" t="s">
        <v>30</v>
      </c>
      <c r="H18" s="49">
        <f>140000+622000</f>
        <v>762000</v>
      </c>
      <c r="I18" s="50">
        <v>186000</v>
      </c>
      <c r="J18" s="50">
        <v>100000</v>
      </c>
      <c r="K18" s="50">
        <v>100000</v>
      </c>
      <c r="L18" s="50">
        <v>481203.6</v>
      </c>
      <c r="M18" s="50">
        <v>69000</v>
      </c>
      <c r="N18" s="50"/>
      <c r="O18" s="50">
        <v>637203.6</v>
      </c>
      <c r="P18" s="50">
        <f aca="true" t="shared" si="7" ref="O18:Q22">J18+M18</f>
        <v>169000</v>
      </c>
      <c r="Q18" s="50">
        <f t="shared" si="7"/>
        <v>100000</v>
      </c>
      <c r="R18" s="43"/>
    </row>
    <row r="19" spans="1:18" s="42" customFormat="1" ht="37.5" customHeight="1">
      <c r="A19" s="45"/>
      <c r="B19" s="51" t="s">
        <v>31</v>
      </c>
      <c r="C19" s="34" t="s">
        <v>32</v>
      </c>
      <c r="D19" s="52"/>
      <c r="E19" s="48"/>
      <c r="F19" s="47"/>
      <c r="G19" s="48"/>
      <c r="H19" s="49">
        <v>18000</v>
      </c>
      <c r="I19" s="50">
        <v>0</v>
      </c>
      <c r="J19" s="50">
        <v>0</v>
      </c>
      <c r="K19" s="50">
        <v>0</v>
      </c>
      <c r="L19" s="50"/>
      <c r="M19" s="50"/>
      <c r="N19" s="50"/>
      <c r="O19" s="50">
        <f t="shared" si="7"/>
        <v>0</v>
      </c>
      <c r="P19" s="50">
        <f t="shared" si="7"/>
        <v>0</v>
      </c>
      <c r="Q19" s="50">
        <f t="shared" si="7"/>
        <v>0</v>
      </c>
      <c r="R19" s="43"/>
    </row>
    <row r="20" spans="1:18" s="42" customFormat="1" ht="52.5" customHeight="1">
      <c r="A20" s="45"/>
      <c r="B20" s="35" t="s">
        <v>33</v>
      </c>
      <c r="C20" s="34" t="s">
        <v>18</v>
      </c>
      <c r="D20" s="46"/>
      <c r="E20" s="46"/>
      <c r="F20" s="53"/>
      <c r="G20" s="46"/>
      <c r="H20" s="49">
        <v>0</v>
      </c>
      <c r="I20" s="50">
        <v>0</v>
      </c>
      <c r="J20" s="50">
        <v>0</v>
      </c>
      <c r="K20" s="50">
        <v>0</v>
      </c>
      <c r="L20" s="50"/>
      <c r="M20" s="50"/>
      <c r="N20" s="50"/>
      <c r="O20" s="50">
        <f>I20+L20</f>
        <v>0</v>
      </c>
      <c r="P20" s="50">
        <f t="shared" si="7"/>
        <v>0</v>
      </c>
      <c r="Q20" s="50">
        <f t="shared" si="7"/>
        <v>0</v>
      </c>
      <c r="R20" s="43"/>
    </row>
    <row r="21" spans="1:18" s="42" customFormat="1" ht="42" customHeight="1">
      <c r="A21" s="45"/>
      <c r="B21" s="54" t="s">
        <v>34</v>
      </c>
      <c r="C21" s="34" t="s">
        <v>32</v>
      </c>
      <c r="D21" s="46"/>
      <c r="E21" s="46"/>
      <c r="F21" s="53"/>
      <c r="G21" s="46"/>
      <c r="H21" s="49">
        <v>0</v>
      </c>
      <c r="I21" s="50">
        <v>0</v>
      </c>
      <c r="J21" s="50">
        <v>0</v>
      </c>
      <c r="K21" s="50">
        <v>0</v>
      </c>
      <c r="L21" s="50"/>
      <c r="M21" s="50"/>
      <c r="N21" s="50"/>
      <c r="O21" s="50">
        <f t="shared" si="7"/>
        <v>0</v>
      </c>
      <c r="P21" s="50">
        <f t="shared" si="7"/>
        <v>0</v>
      </c>
      <c r="Q21" s="50">
        <f t="shared" si="7"/>
        <v>0</v>
      </c>
      <c r="R21" s="43"/>
    </row>
    <row r="22" spans="1:18" s="42" customFormat="1" ht="59.25" customHeight="1">
      <c r="A22" s="45"/>
      <c r="B22" s="55" t="s">
        <v>35</v>
      </c>
      <c r="C22" s="34" t="s">
        <v>32</v>
      </c>
      <c r="D22" s="46">
        <v>864</v>
      </c>
      <c r="E22" s="46">
        <v>1101</v>
      </c>
      <c r="F22" s="53" t="s">
        <v>36</v>
      </c>
      <c r="G22" s="46">
        <v>244</v>
      </c>
      <c r="H22" s="49">
        <v>0</v>
      </c>
      <c r="I22" s="50">
        <v>0</v>
      </c>
      <c r="J22" s="50">
        <v>0</v>
      </c>
      <c r="K22" s="50">
        <v>0</v>
      </c>
      <c r="L22" s="50">
        <v>10000</v>
      </c>
      <c r="M22" s="50"/>
      <c r="N22" s="50"/>
      <c r="O22" s="50">
        <f t="shared" si="7"/>
        <v>10000</v>
      </c>
      <c r="P22" s="50">
        <f t="shared" si="7"/>
        <v>0</v>
      </c>
      <c r="Q22" s="50">
        <f t="shared" si="7"/>
        <v>0</v>
      </c>
      <c r="R22" s="43"/>
    </row>
    <row r="23" spans="1:18" s="17" customFormat="1" ht="20.25" customHeight="1">
      <c r="A23" s="35" t="s">
        <v>37</v>
      </c>
      <c r="B23" s="56" t="s">
        <v>38</v>
      </c>
      <c r="C23" s="25" t="s">
        <v>15</v>
      </c>
      <c r="D23" s="37"/>
      <c r="E23" s="37" t="s">
        <v>16</v>
      </c>
      <c r="F23" s="38" t="s">
        <v>16</v>
      </c>
      <c r="G23" s="37" t="s">
        <v>16</v>
      </c>
      <c r="H23" s="57">
        <f>SUM(H24:H24)</f>
        <v>5429.799999999999</v>
      </c>
      <c r="I23" s="40">
        <f>SUM(I24:I24)</f>
        <v>5277.5999999999985</v>
      </c>
      <c r="J23" s="40">
        <f>SUM(J24:J24)</f>
        <v>5307.5999999999985</v>
      </c>
      <c r="K23" s="40">
        <f>SUM(K24:K24)</f>
        <v>5315.0999999999985</v>
      </c>
      <c r="L23" s="40">
        <f aca="true" t="shared" si="8" ref="L23:Q23">SUM(L24:L27)</f>
        <v>37439.1</v>
      </c>
      <c r="M23" s="40">
        <f t="shared" si="8"/>
        <v>6367.5</v>
      </c>
      <c r="N23" s="40">
        <f t="shared" si="8"/>
        <v>6319.4</v>
      </c>
      <c r="O23" s="40">
        <f t="shared" si="8"/>
        <v>42716.7</v>
      </c>
      <c r="P23" s="40">
        <f t="shared" si="8"/>
        <v>11675.1</v>
      </c>
      <c r="Q23" s="40">
        <f t="shared" si="8"/>
        <v>11634.499999999998</v>
      </c>
      <c r="R23" s="31"/>
    </row>
    <row r="24" spans="1:18" s="17" customFormat="1" ht="84.75" customHeight="1">
      <c r="A24" s="35"/>
      <c r="B24" s="56"/>
      <c r="C24" s="25" t="s">
        <v>25</v>
      </c>
      <c r="D24" s="37"/>
      <c r="E24" s="37" t="s">
        <v>16</v>
      </c>
      <c r="F24" s="38" t="s">
        <v>16</v>
      </c>
      <c r="G24" s="37" t="s">
        <v>16</v>
      </c>
      <c r="H24" s="57">
        <f>SUM(H29:H43)</f>
        <v>5429.799999999999</v>
      </c>
      <c r="I24" s="40">
        <f>SUM(I29:I43)</f>
        <v>5277.5999999999985</v>
      </c>
      <c r="J24" s="40">
        <f>SUM(J29:J43)</f>
        <v>5307.5999999999985</v>
      </c>
      <c r="K24" s="40">
        <f>SUM(K29:K43)</f>
        <v>5315.0999999999985</v>
      </c>
      <c r="L24" s="40">
        <f aca="true" t="shared" si="9" ref="L24:Q24">SUM(L29:L35,L37:L39,L42:L43)</f>
        <v>33957.1</v>
      </c>
      <c r="M24" s="40">
        <f t="shared" si="9"/>
        <v>6367.5</v>
      </c>
      <c r="N24" s="40">
        <f t="shared" si="9"/>
        <v>6319.4</v>
      </c>
      <c r="O24" s="40">
        <f t="shared" si="9"/>
        <v>39234.7</v>
      </c>
      <c r="P24" s="40">
        <f t="shared" si="9"/>
        <v>11675.1</v>
      </c>
      <c r="Q24" s="40">
        <f t="shared" si="9"/>
        <v>11634.499999999998</v>
      </c>
      <c r="R24" s="5"/>
    </row>
    <row r="25" spans="1:18" s="17" customFormat="1" ht="36" customHeight="1">
      <c r="A25" s="24"/>
      <c r="B25" s="58"/>
      <c r="C25" s="34" t="s">
        <v>20</v>
      </c>
      <c r="D25" s="26"/>
      <c r="E25" s="26" t="s">
        <v>16</v>
      </c>
      <c r="F25" s="27" t="s">
        <v>16</v>
      </c>
      <c r="G25" s="26" t="s">
        <v>16</v>
      </c>
      <c r="H25" s="28"/>
      <c r="I25" s="29"/>
      <c r="J25" s="29"/>
      <c r="K25" s="29"/>
      <c r="L25" s="30">
        <f aca="true" t="shared" si="10" ref="L25:Q25">L41</f>
        <v>410</v>
      </c>
      <c r="M25" s="30">
        <f t="shared" si="10"/>
        <v>0</v>
      </c>
      <c r="N25" s="30">
        <f t="shared" si="10"/>
        <v>0</v>
      </c>
      <c r="O25" s="29">
        <f t="shared" si="10"/>
        <v>410</v>
      </c>
      <c r="P25" s="29">
        <f t="shared" si="10"/>
        <v>0</v>
      </c>
      <c r="Q25" s="29">
        <f t="shared" si="10"/>
        <v>0</v>
      </c>
      <c r="R25" s="5"/>
    </row>
    <row r="26" spans="1:18" s="17" customFormat="1" ht="36" customHeight="1">
      <c r="A26" s="24"/>
      <c r="B26" s="58"/>
      <c r="C26" s="34" t="s">
        <v>21</v>
      </c>
      <c r="D26" s="26"/>
      <c r="E26" s="26" t="s">
        <v>16</v>
      </c>
      <c r="F26" s="27" t="s">
        <v>16</v>
      </c>
      <c r="G26" s="26" t="s">
        <v>16</v>
      </c>
      <c r="H26" s="28"/>
      <c r="I26" s="29"/>
      <c r="J26" s="29"/>
      <c r="K26" s="29"/>
      <c r="L26" s="30">
        <f aca="true" t="shared" si="11" ref="L26:Q26">L40</f>
        <v>2432</v>
      </c>
      <c r="M26" s="30">
        <f t="shared" si="11"/>
        <v>0</v>
      </c>
      <c r="N26" s="30">
        <f t="shared" si="11"/>
        <v>0</v>
      </c>
      <c r="O26" s="29">
        <f t="shared" si="11"/>
        <v>2432</v>
      </c>
      <c r="P26" s="29">
        <f t="shared" si="11"/>
        <v>0</v>
      </c>
      <c r="Q26" s="29">
        <f t="shared" si="11"/>
        <v>0</v>
      </c>
      <c r="R26" s="5"/>
    </row>
    <row r="27" spans="1:18" s="17" customFormat="1" ht="36" customHeight="1">
      <c r="A27" s="24"/>
      <c r="B27" s="58"/>
      <c r="C27" s="34" t="s">
        <v>22</v>
      </c>
      <c r="D27" s="26"/>
      <c r="E27" s="26" t="s">
        <v>16</v>
      </c>
      <c r="F27" s="27" t="s">
        <v>16</v>
      </c>
      <c r="G27" s="26" t="s">
        <v>16</v>
      </c>
      <c r="H27" s="28"/>
      <c r="I27" s="29"/>
      <c r="J27" s="29"/>
      <c r="K27" s="29"/>
      <c r="L27" s="30">
        <f aca="true" t="shared" si="12" ref="L27:Q27">L36</f>
        <v>640</v>
      </c>
      <c r="M27" s="30">
        <f t="shared" si="12"/>
        <v>0</v>
      </c>
      <c r="N27" s="30">
        <f t="shared" si="12"/>
        <v>0</v>
      </c>
      <c r="O27" s="29">
        <f t="shared" si="12"/>
        <v>640</v>
      </c>
      <c r="P27" s="29">
        <f t="shared" si="12"/>
        <v>0</v>
      </c>
      <c r="Q27" s="29">
        <f t="shared" si="12"/>
        <v>0</v>
      </c>
      <c r="R27" s="5"/>
    </row>
    <row r="28" spans="1:18" s="17" customFormat="1" ht="43.5">
      <c r="A28" s="24" t="s">
        <v>26</v>
      </c>
      <c r="B28" s="24"/>
      <c r="C28" s="59"/>
      <c r="D28" s="60"/>
      <c r="E28" s="60"/>
      <c r="F28" s="61"/>
      <c r="G28" s="60"/>
      <c r="H28" s="62"/>
      <c r="I28" s="63"/>
      <c r="J28" s="63"/>
      <c r="K28" s="63"/>
      <c r="L28" s="64"/>
      <c r="M28" s="64"/>
      <c r="N28" s="64"/>
      <c r="O28" s="63"/>
      <c r="P28" s="63"/>
      <c r="Q28" s="63"/>
      <c r="R28" s="5"/>
    </row>
    <row r="29" spans="1:18" s="67" customFormat="1" ht="78.75" customHeight="1">
      <c r="A29" s="65"/>
      <c r="B29" s="66" t="s">
        <v>39</v>
      </c>
      <c r="C29" s="24" t="s">
        <v>32</v>
      </c>
      <c r="D29" s="26">
        <v>864</v>
      </c>
      <c r="E29" s="60" t="s">
        <v>16</v>
      </c>
      <c r="F29" s="61" t="s">
        <v>16</v>
      </c>
      <c r="G29" s="60" t="s">
        <v>16</v>
      </c>
      <c r="H29" s="62">
        <v>0</v>
      </c>
      <c r="I29" s="63">
        <v>0</v>
      </c>
      <c r="J29" s="63">
        <v>0</v>
      </c>
      <c r="K29" s="63">
        <v>0</v>
      </c>
      <c r="L29" s="64"/>
      <c r="M29" s="64"/>
      <c r="N29" s="64"/>
      <c r="O29" s="50">
        <f aca="true" t="shared" si="13" ref="O29:O43">I29+L29</f>
        <v>0</v>
      </c>
      <c r="P29" s="50">
        <f aca="true" t="shared" si="14" ref="P29:P43">J29+M29</f>
        <v>0</v>
      </c>
      <c r="Q29" s="50">
        <f aca="true" t="shared" si="15" ref="Q29:Q43">K29+N29</f>
        <v>0</v>
      </c>
      <c r="R29" s="5"/>
    </row>
    <row r="30" spans="1:18" s="67" customFormat="1" ht="49.5" customHeight="1">
      <c r="A30" s="65"/>
      <c r="B30" s="68" t="s">
        <v>40</v>
      </c>
      <c r="C30" s="24" t="s">
        <v>32</v>
      </c>
      <c r="D30" s="26"/>
      <c r="E30" s="26"/>
      <c r="F30" s="27"/>
      <c r="G30" s="26"/>
      <c r="H30" s="28"/>
      <c r="I30" s="29"/>
      <c r="J30" s="29"/>
      <c r="K30" s="63"/>
      <c r="L30" s="30"/>
      <c r="M30" s="30"/>
      <c r="N30" s="64"/>
      <c r="O30" s="50">
        <f t="shared" si="13"/>
        <v>0</v>
      </c>
      <c r="P30" s="50">
        <f t="shared" si="14"/>
        <v>0</v>
      </c>
      <c r="Q30" s="50">
        <f t="shared" si="15"/>
        <v>0</v>
      </c>
      <c r="R30" s="5"/>
    </row>
    <row r="31" spans="1:18" s="67" customFormat="1" ht="39.75" customHeight="1">
      <c r="A31" s="65"/>
      <c r="B31" s="24" t="s">
        <v>41</v>
      </c>
      <c r="C31" s="24" t="s">
        <v>32</v>
      </c>
      <c r="D31" s="26">
        <v>864</v>
      </c>
      <c r="E31" s="61" t="s">
        <v>42</v>
      </c>
      <c r="F31" s="61" t="s">
        <v>43</v>
      </c>
      <c r="G31" s="69">
        <v>611</v>
      </c>
      <c r="H31" s="60">
        <v>3006.6</v>
      </c>
      <c r="I31" s="63">
        <f>22638.6-19756.3+480-244.9</f>
        <v>3117.399999999999</v>
      </c>
      <c r="J31" s="63">
        <f>23138-19745.7-244.9</f>
        <v>3147.399999999999</v>
      </c>
      <c r="K31" s="63">
        <f>23663.5-20263.7-244.9</f>
        <v>3154.899999999999</v>
      </c>
      <c r="L31" s="64"/>
      <c r="M31" s="64"/>
      <c r="N31" s="64"/>
      <c r="O31" s="50">
        <f t="shared" si="13"/>
        <v>3117.399999999999</v>
      </c>
      <c r="P31" s="50">
        <f t="shared" si="14"/>
        <v>3147.399999999999</v>
      </c>
      <c r="Q31" s="50">
        <f t="shared" si="15"/>
        <v>3154.899999999999</v>
      </c>
      <c r="R31" s="5"/>
    </row>
    <row r="32" spans="1:18" s="67" customFormat="1" ht="39.75" customHeight="1">
      <c r="A32" s="65"/>
      <c r="B32" s="24"/>
      <c r="C32" s="24"/>
      <c r="D32" s="26">
        <v>864</v>
      </c>
      <c r="E32" s="61" t="s">
        <v>42</v>
      </c>
      <c r="F32" s="61" t="s">
        <v>43</v>
      </c>
      <c r="G32" s="69">
        <v>621</v>
      </c>
      <c r="H32" s="60"/>
      <c r="I32" s="63"/>
      <c r="J32" s="63"/>
      <c r="K32" s="63"/>
      <c r="L32" s="64">
        <v>4311</v>
      </c>
      <c r="M32" s="64">
        <v>6367.5</v>
      </c>
      <c r="N32" s="64">
        <v>6319.4</v>
      </c>
      <c r="O32" s="50">
        <f>I32+L32</f>
        <v>4311</v>
      </c>
      <c r="P32" s="50">
        <f>J32+M32</f>
        <v>6367.5</v>
      </c>
      <c r="Q32" s="50">
        <f>K32+N32</f>
        <v>6319.4</v>
      </c>
      <c r="R32" s="5"/>
    </row>
    <row r="33" spans="1:19" s="67" customFormat="1" ht="41.25" customHeight="1">
      <c r="A33" s="65"/>
      <c r="B33" s="24" t="s">
        <v>44</v>
      </c>
      <c r="C33" s="24" t="s">
        <v>32</v>
      </c>
      <c r="D33" s="26">
        <v>864</v>
      </c>
      <c r="E33" s="61" t="s">
        <v>42</v>
      </c>
      <c r="F33" s="61" t="s">
        <v>43</v>
      </c>
      <c r="G33" s="69">
        <v>612</v>
      </c>
      <c r="H33" s="63">
        <v>38</v>
      </c>
      <c r="I33" s="63">
        <v>45</v>
      </c>
      <c r="J33" s="63">
        <v>45</v>
      </c>
      <c r="K33" s="63">
        <v>45</v>
      </c>
      <c r="L33" s="64">
        <f>1000+1401</f>
        <v>2401</v>
      </c>
      <c r="M33" s="64">
        <v>0</v>
      </c>
      <c r="N33" s="64">
        <v>0</v>
      </c>
      <c r="O33" s="50">
        <f t="shared" si="13"/>
        <v>2446</v>
      </c>
      <c r="P33" s="50">
        <f t="shared" si="14"/>
        <v>45</v>
      </c>
      <c r="Q33" s="50">
        <f t="shared" si="15"/>
        <v>45</v>
      </c>
      <c r="R33" s="5"/>
      <c r="S33" s="70">
        <f>1000000+1401000</f>
        <v>2401000</v>
      </c>
    </row>
    <row r="34" spans="1:19" s="67" customFormat="1" ht="41.25" customHeight="1">
      <c r="A34" s="65"/>
      <c r="B34" s="24"/>
      <c r="C34" s="24"/>
      <c r="D34" s="26">
        <v>864</v>
      </c>
      <c r="E34" s="61" t="s">
        <v>42</v>
      </c>
      <c r="F34" s="61" t="s">
        <v>45</v>
      </c>
      <c r="G34" s="69">
        <v>521</v>
      </c>
      <c r="H34" s="63"/>
      <c r="I34" s="63"/>
      <c r="J34" s="63"/>
      <c r="K34" s="63"/>
      <c r="L34" s="64">
        <v>3600</v>
      </c>
      <c r="M34" s="64"/>
      <c r="N34" s="64"/>
      <c r="O34" s="50">
        <f>I34+L34</f>
        <v>3600</v>
      </c>
      <c r="P34" s="50">
        <f>J34+M34</f>
        <v>0</v>
      </c>
      <c r="Q34" s="50">
        <f>K34+N34</f>
        <v>0</v>
      </c>
      <c r="R34" s="5"/>
      <c r="S34" s="70"/>
    </row>
    <row r="35" spans="1:19" s="17" customFormat="1" ht="41.25" customHeight="1">
      <c r="A35" s="65"/>
      <c r="B35" s="71" t="s">
        <v>46</v>
      </c>
      <c r="C35" s="72" t="s">
        <v>32</v>
      </c>
      <c r="D35" s="26">
        <v>864</v>
      </c>
      <c r="E35" s="61" t="s">
        <v>42</v>
      </c>
      <c r="F35" s="61" t="s">
        <v>36</v>
      </c>
      <c r="G35" s="69">
        <v>622</v>
      </c>
      <c r="H35" s="62"/>
      <c r="I35" s="63"/>
      <c r="J35" s="63"/>
      <c r="K35" s="63"/>
      <c r="L35" s="64">
        <v>8250</v>
      </c>
      <c r="M35" s="64">
        <v>0</v>
      </c>
      <c r="N35" s="64">
        <v>0</v>
      </c>
      <c r="O35" s="50">
        <f t="shared" si="13"/>
        <v>8250</v>
      </c>
      <c r="P35" s="50">
        <f t="shared" si="14"/>
        <v>0</v>
      </c>
      <c r="Q35" s="50">
        <f t="shared" si="15"/>
        <v>0</v>
      </c>
      <c r="R35" s="5"/>
      <c r="S35" s="70"/>
    </row>
    <row r="36" spans="1:19" s="17" customFormat="1" ht="51.75" customHeight="1">
      <c r="A36" s="65"/>
      <c r="B36" s="71"/>
      <c r="C36" s="24" t="s">
        <v>22</v>
      </c>
      <c r="D36" s="26">
        <v>831</v>
      </c>
      <c r="E36" s="61" t="s">
        <v>47</v>
      </c>
      <c r="F36" s="61" t="s">
        <v>48</v>
      </c>
      <c r="G36" s="69">
        <v>810</v>
      </c>
      <c r="H36" s="62"/>
      <c r="I36" s="63"/>
      <c r="J36" s="63"/>
      <c r="K36" s="63"/>
      <c r="L36" s="64">
        <v>640</v>
      </c>
      <c r="M36" s="64"/>
      <c r="N36" s="64"/>
      <c r="O36" s="50">
        <f>I36+L36</f>
        <v>640</v>
      </c>
      <c r="P36" s="50">
        <f>J36+M36</f>
        <v>0</v>
      </c>
      <c r="Q36" s="50">
        <f>K36+N36</f>
        <v>0</v>
      </c>
      <c r="R36" s="5"/>
      <c r="S36" s="70"/>
    </row>
    <row r="37" spans="1:19" s="17" customFormat="1" ht="83.25" customHeight="1">
      <c r="A37" s="73"/>
      <c r="B37" s="74" t="s">
        <v>49</v>
      </c>
      <c r="C37" s="24" t="s">
        <v>32</v>
      </c>
      <c r="D37" s="26"/>
      <c r="E37" s="61"/>
      <c r="F37" s="61"/>
      <c r="G37" s="69"/>
      <c r="H37" s="62"/>
      <c r="I37" s="63"/>
      <c r="J37" s="63"/>
      <c r="K37" s="63"/>
      <c r="L37" s="64"/>
      <c r="M37" s="64"/>
      <c r="N37" s="64"/>
      <c r="O37" s="50">
        <f t="shared" si="13"/>
        <v>0</v>
      </c>
      <c r="P37" s="50">
        <f t="shared" si="14"/>
        <v>0</v>
      </c>
      <c r="Q37" s="50">
        <f t="shared" si="15"/>
        <v>0</v>
      </c>
      <c r="R37" s="5"/>
      <c r="S37" s="70"/>
    </row>
    <row r="38" spans="1:19" s="67" customFormat="1" ht="24" customHeight="1">
      <c r="A38" s="75"/>
      <c r="B38" s="76" t="s">
        <v>50</v>
      </c>
      <c r="C38" s="24" t="s">
        <v>32</v>
      </c>
      <c r="D38" s="26">
        <v>864</v>
      </c>
      <c r="E38" s="77" t="s">
        <v>42</v>
      </c>
      <c r="F38" s="77" t="s">
        <v>36</v>
      </c>
      <c r="G38" s="77" t="s">
        <v>51</v>
      </c>
      <c r="H38" s="60">
        <f>2115.2</f>
        <v>2115.2</v>
      </c>
      <c r="I38" s="63">
        <v>672.6</v>
      </c>
      <c r="J38" s="63">
        <v>672.6</v>
      </c>
      <c r="K38" s="63">
        <v>672.6</v>
      </c>
      <c r="L38" s="64"/>
      <c r="M38" s="64"/>
      <c r="N38" s="64"/>
      <c r="O38" s="50">
        <f>I38+L38+1447.2</f>
        <v>2119.8</v>
      </c>
      <c r="P38" s="50">
        <f t="shared" si="14"/>
        <v>672.6</v>
      </c>
      <c r="Q38" s="50">
        <f t="shared" si="15"/>
        <v>672.6</v>
      </c>
      <c r="R38" s="31"/>
      <c r="S38" s="70"/>
    </row>
    <row r="39" spans="1:19" s="67" customFormat="1" ht="24" customHeight="1">
      <c r="A39" s="75"/>
      <c r="B39" s="76"/>
      <c r="C39" s="24"/>
      <c r="D39" s="26">
        <v>864</v>
      </c>
      <c r="E39" s="77" t="s">
        <v>42</v>
      </c>
      <c r="F39" s="77" t="s">
        <v>36</v>
      </c>
      <c r="G39" s="69">
        <v>622</v>
      </c>
      <c r="H39" s="60">
        <v>270</v>
      </c>
      <c r="I39" s="63">
        <v>1442.6</v>
      </c>
      <c r="J39" s="63">
        <v>1442.6</v>
      </c>
      <c r="K39" s="63">
        <v>1442.6</v>
      </c>
      <c r="L39" s="64">
        <f>-386.7+14883.3+898.5</f>
        <v>15395.099999999999</v>
      </c>
      <c r="M39" s="64"/>
      <c r="N39" s="64"/>
      <c r="O39" s="50">
        <f>I39+L39-1447.2</f>
        <v>15390.499999999996</v>
      </c>
      <c r="P39" s="50">
        <f t="shared" si="14"/>
        <v>1442.6</v>
      </c>
      <c r="Q39" s="50">
        <f t="shared" si="15"/>
        <v>1442.6</v>
      </c>
      <c r="R39" s="5"/>
      <c r="S39" s="70">
        <f>-386700+898501+14883300</f>
        <v>15395101</v>
      </c>
    </row>
    <row r="40" spans="1:18" s="67" customFormat="1" ht="41.25" customHeight="1">
      <c r="A40" s="75"/>
      <c r="B40" s="76"/>
      <c r="C40" s="24" t="s">
        <v>21</v>
      </c>
      <c r="D40" s="26">
        <v>856</v>
      </c>
      <c r="E40" s="77" t="s">
        <v>52</v>
      </c>
      <c r="F40" s="77" t="s">
        <v>53</v>
      </c>
      <c r="G40" s="69">
        <v>622</v>
      </c>
      <c r="H40" s="60"/>
      <c r="I40" s="63"/>
      <c r="J40" s="63"/>
      <c r="K40" s="63"/>
      <c r="L40" s="64">
        <v>2432</v>
      </c>
      <c r="M40" s="64"/>
      <c r="N40" s="64"/>
      <c r="O40" s="50">
        <f aca="true" t="shared" si="16" ref="O40:Q41">I40+L40</f>
        <v>2432</v>
      </c>
      <c r="P40" s="50">
        <f t="shared" si="16"/>
        <v>0</v>
      </c>
      <c r="Q40" s="50">
        <f t="shared" si="16"/>
        <v>0</v>
      </c>
      <c r="R40" s="5"/>
    </row>
    <row r="41" spans="1:18" s="67" customFormat="1" ht="41.25" customHeight="1">
      <c r="A41" s="75"/>
      <c r="B41" s="76"/>
      <c r="C41" s="24" t="s">
        <v>20</v>
      </c>
      <c r="D41" s="26">
        <v>875</v>
      </c>
      <c r="E41" s="77" t="s">
        <v>54</v>
      </c>
      <c r="F41" s="77" t="s">
        <v>55</v>
      </c>
      <c r="G41" s="69">
        <v>612</v>
      </c>
      <c r="H41" s="60"/>
      <c r="I41" s="63"/>
      <c r="J41" s="63"/>
      <c r="K41" s="63"/>
      <c r="L41" s="64">
        <v>410</v>
      </c>
      <c r="M41" s="64"/>
      <c r="N41" s="64"/>
      <c r="O41" s="50">
        <f t="shared" si="16"/>
        <v>410</v>
      </c>
      <c r="P41" s="50">
        <f t="shared" si="16"/>
        <v>0</v>
      </c>
      <c r="Q41" s="50">
        <f t="shared" si="16"/>
        <v>0</v>
      </c>
      <c r="R41" s="5"/>
    </row>
    <row r="42" spans="1:18" s="17" customFormat="1" ht="49.5" customHeight="1">
      <c r="A42" s="75"/>
      <c r="B42" s="66" t="s">
        <v>56</v>
      </c>
      <c r="C42" s="24" t="s">
        <v>32</v>
      </c>
      <c r="D42" s="26"/>
      <c r="E42" s="61"/>
      <c r="F42" s="61"/>
      <c r="G42" s="60"/>
      <c r="H42" s="62"/>
      <c r="I42" s="63"/>
      <c r="J42" s="63"/>
      <c r="K42" s="63"/>
      <c r="L42" s="64"/>
      <c r="M42" s="64"/>
      <c r="N42" s="64"/>
      <c r="O42" s="50">
        <f t="shared" si="13"/>
        <v>0</v>
      </c>
      <c r="P42" s="50">
        <f t="shared" si="14"/>
        <v>0</v>
      </c>
      <c r="Q42" s="50">
        <f t="shared" si="15"/>
        <v>0</v>
      </c>
      <c r="R42" s="5"/>
    </row>
    <row r="43" spans="1:18" s="17" customFormat="1" ht="72.75" customHeight="1">
      <c r="A43" s="75"/>
      <c r="B43" s="74" t="s">
        <v>57</v>
      </c>
      <c r="C43" s="78" t="s">
        <v>32</v>
      </c>
      <c r="D43" s="26"/>
      <c r="E43" s="61"/>
      <c r="F43" s="61"/>
      <c r="G43" s="60"/>
      <c r="H43" s="62"/>
      <c r="I43" s="63"/>
      <c r="J43" s="63"/>
      <c r="K43" s="63"/>
      <c r="L43" s="64"/>
      <c r="M43" s="64"/>
      <c r="N43" s="64"/>
      <c r="O43" s="50">
        <f t="shared" si="13"/>
        <v>0</v>
      </c>
      <c r="P43" s="50">
        <f t="shared" si="14"/>
        <v>0</v>
      </c>
      <c r="Q43" s="50">
        <f t="shared" si="15"/>
        <v>0</v>
      </c>
      <c r="R43" s="5"/>
    </row>
    <row r="44" spans="1:20" s="17" customFormat="1" ht="24.75" customHeight="1">
      <c r="A44" s="75" t="s">
        <v>58</v>
      </c>
      <c r="B44" s="79" t="s">
        <v>59</v>
      </c>
      <c r="C44" s="25" t="s">
        <v>15</v>
      </c>
      <c r="D44" s="26"/>
      <c r="E44" s="61"/>
      <c r="F44" s="53"/>
      <c r="G44" s="46"/>
      <c r="H44" s="57">
        <f aca="true" t="shared" si="17" ref="H44:Q44">H45</f>
        <v>203594.4</v>
      </c>
      <c r="I44" s="40">
        <f t="shared" si="17"/>
        <v>218148.10000000003</v>
      </c>
      <c r="J44" s="40">
        <f t="shared" si="17"/>
        <v>221020.2</v>
      </c>
      <c r="K44" s="40">
        <f t="shared" si="17"/>
        <v>218376.80000000002</v>
      </c>
      <c r="L44" s="40">
        <f t="shared" si="17"/>
        <v>66951</v>
      </c>
      <c r="M44" s="40">
        <f t="shared" si="17"/>
        <v>-1606.3999999999999</v>
      </c>
      <c r="N44" s="40">
        <f t="shared" si="17"/>
        <v>-1558.3</v>
      </c>
      <c r="O44" s="40">
        <f t="shared" si="17"/>
        <v>285099.1</v>
      </c>
      <c r="P44" s="40">
        <f t="shared" si="17"/>
        <v>219413.80000000005</v>
      </c>
      <c r="Q44" s="40">
        <f t="shared" si="17"/>
        <v>216818.40000000002</v>
      </c>
      <c r="R44" s="31"/>
      <c r="S44" s="32" t="s">
        <v>60</v>
      </c>
      <c r="T44" s="32"/>
    </row>
    <row r="45" spans="1:20" s="17" customFormat="1" ht="78.75" customHeight="1">
      <c r="A45" s="75"/>
      <c r="B45" s="66"/>
      <c r="C45" s="25" t="s">
        <v>61</v>
      </c>
      <c r="D45" s="26"/>
      <c r="E45" s="61"/>
      <c r="F45" s="61"/>
      <c r="G45" s="60"/>
      <c r="H45" s="28">
        <f aca="true" t="shared" si="18" ref="H45:Q45">SUM(H47:H58)</f>
        <v>203594.4</v>
      </c>
      <c r="I45" s="29">
        <f t="shared" si="18"/>
        <v>218148.10000000003</v>
      </c>
      <c r="J45" s="29">
        <f t="shared" si="18"/>
        <v>221020.2</v>
      </c>
      <c r="K45" s="29">
        <f t="shared" si="18"/>
        <v>218376.80000000002</v>
      </c>
      <c r="L45" s="30">
        <f t="shared" si="18"/>
        <v>66951</v>
      </c>
      <c r="M45" s="30">
        <f t="shared" si="18"/>
        <v>-1606.3999999999999</v>
      </c>
      <c r="N45" s="30">
        <f t="shared" si="18"/>
        <v>-1558.3</v>
      </c>
      <c r="O45" s="29">
        <f t="shared" si="18"/>
        <v>285099.1</v>
      </c>
      <c r="P45" s="29">
        <f t="shared" si="18"/>
        <v>219413.80000000005</v>
      </c>
      <c r="Q45" s="29">
        <f t="shared" si="18"/>
        <v>216818.40000000002</v>
      </c>
      <c r="R45" s="5"/>
      <c r="S45" s="80">
        <v>80301</v>
      </c>
      <c r="T45" s="80"/>
    </row>
    <row r="46" spans="1:24" s="17" customFormat="1" ht="43.5">
      <c r="A46" s="24" t="s">
        <v>26</v>
      </c>
      <c r="B46" s="79"/>
      <c r="C46" s="58"/>
      <c r="D46" s="26"/>
      <c r="E46" s="61"/>
      <c r="F46" s="61"/>
      <c r="G46" s="60"/>
      <c r="H46" s="62"/>
      <c r="I46" s="63"/>
      <c r="J46" s="63"/>
      <c r="K46" s="63"/>
      <c r="L46" s="64"/>
      <c r="M46" s="64"/>
      <c r="N46" s="64"/>
      <c r="O46" s="63"/>
      <c r="P46" s="63"/>
      <c r="Q46" s="63"/>
      <c r="R46" s="5"/>
      <c r="S46" s="81">
        <f>-1310382.01</f>
        <v>-1310382.01</v>
      </c>
      <c r="T46" s="82">
        <v>621</v>
      </c>
      <c r="U46" s="83">
        <f>S47+S48+S49+S50+S51+S52+S55+S57+S60</f>
        <v>28242792.23</v>
      </c>
      <c r="W46" s="83"/>
      <c r="X46" s="83"/>
    </row>
    <row r="47" spans="1:21" s="17" customFormat="1" ht="18.75" customHeight="1">
      <c r="A47" s="75"/>
      <c r="B47" s="24" t="s">
        <v>62</v>
      </c>
      <c r="C47" s="24" t="s">
        <v>32</v>
      </c>
      <c r="D47" s="26">
        <v>864</v>
      </c>
      <c r="E47" s="77" t="s">
        <v>63</v>
      </c>
      <c r="F47" s="84">
        <v>4239900</v>
      </c>
      <c r="G47" s="77" t="s">
        <v>64</v>
      </c>
      <c r="H47" s="85">
        <f>128958+28048.4+18224.2</f>
        <v>175230.6</v>
      </c>
      <c r="I47" s="86">
        <f>138085+9599.2</f>
        <v>147684.2</v>
      </c>
      <c r="J47" s="86">
        <f>140292.1+9010.6</f>
        <v>149302.7</v>
      </c>
      <c r="K47" s="86">
        <f>139115.2+8781.4</f>
        <v>147896.6</v>
      </c>
      <c r="L47" s="87">
        <v>28242.8</v>
      </c>
      <c r="M47" s="87">
        <v>116.2</v>
      </c>
      <c r="N47" s="87">
        <v>184.7</v>
      </c>
      <c r="O47" s="50">
        <f>I47+L47</f>
        <v>175927</v>
      </c>
      <c r="P47" s="50">
        <f>J47+M47</f>
        <v>149418.90000000002</v>
      </c>
      <c r="Q47" s="50">
        <f>K47+N47</f>
        <v>148081.30000000002</v>
      </c>
      <c r="R47" s="5"/>
      <c r="S47" s="88">
        <f>-88320.31</f>
        <v>-88320.31</v>
      </c>
      <c r="T47" s="82">
        <v>611</v>
      </c>
      <c r="U47" s="89">
        <f>S56+S63</f>
        <v>17326800</v>
      </c>
    </row>
    <row r="48" spans="1:20" s="17" customFormat="1" ht="18.75" customHeight="1">
      <c r="A48" s="75"/>
      <c r="B48" s="24"/>
      <c r="C48" s="24"/>
      <c r="D48" s="26">
        <v>864</v>
      </c>
      <c r="E48" s="77" t="s">
        <v>63</v>
      </c>
      <c r="F48" s="69">
        <v>4239900</v>
      </c>
      <c r="G48" s="77" t="s">
        <v>65</v>
      </c>
      <c r="H48" s="85"/>
      <c r="I48" s="86">
        <v>27615.3</v>
      </c>
      <c r="J48" s="86">
        <v>28629.5</v>
      </c>
      <c r="K48" s="86">
        <v>32268.9</v>
      </c>
      <c r="L48" s="87">
        <v>731.2</v>
      </c>
      <c r="M48" s="87">
        <v>-1722.6</v>
      </c>
      <c r="N48" s="87">
        <v>-1743</v>
      </c>
      <c r="O48" s="50">
        <f aca="true" t="shared" si="19" ref="O48:O58">I48+L48</f>
        <v>28346.5</v>
      </c>
      <c r="P48" s="50">
        <f aca="true" t="shared" si="20" ref="P48:P58">J48+M48</f>
        <v>26906.9</v>
      </c>
      <c r="Q48" s="50">
        <f>K48+N48-0.1</f>
        <v>30525.800000000003</v>
      </c>
      <c r="R48" s="5"/>
      <c r="S48" s="88">
        <f>-336606.82</f>
        <v>-336606.82</v>
      </c>
      <c r="T48" s="82">
        <v>611</v>
      </c>
    </row>
    <row r="49" spans="1:20" s="17" customFormat="1" ht="18.75" customHeight="1">
      <c r="A49" s="75"/>
      <c r="B49" s="24"/>
      <c r="C49" s="24"/>
      <c r="D49" s="26">
        <v>864</v>
      </c>
      <c r="E49" s="77" t="s">
        <v>42</v>
      </c>
      <c r="F49" s="69" t="s">
        <v>43</v>
      </c>
      <c r="G49" s="77">
        <v>611</v>
      </c>
      <c r="H49" s="85"/>
      <c r="I49" s="63">
        <f>19756.3</f>
        <v>19756.3</v>
      </c>
      <c r="J49" s="63">
        <f>19745.7</f>
        <v>19745.7</v>
      </c>
      <c r="K49" s="63">
        <f>20263.7</f>
        <v>20263.7</v>
      </c>
      <c r="L49" s="64">
        <v>1684.6</v>
      </c>
      <c r="M49" s="64"/>
      <c r="N49" s="64"/>
      <c r="O49" s="50">
        <f t="shared" si="19"/>
        <v>21440.899999999998</v>
      </c>
      <c r="P49" s="50">
        <f t="shared" si="20"/>
        <v>19745.7</v>
      </c>
      <c r="Q49" s="50">
        <f aca="true" t="shared" si="21" ref="Q49:Q58">K49+N49</f>
        <v>20263.7</v>
      </c>
      <c r="R49" s="5"/>
      <c r="S49" s="88">
        <f>750479</f>
        <v>750479</v>
      </c>
      <c r="T49" s="82">
        <v>611</v>
      </c>
    </row>
    <row r="50" spans="1:20" s="17" customFormat="1" ht="18.75" customHeight="1">
      <c r="A50" s="75"/>
      <c r="B50" s="24"/>
      <c r="C50" s="24"/>
      <c r="D50" s="26">
        <v>864</v>
      </c>
      <c r="E50" s="77" t="s">
        <v>63</v>
      </c>
      <c r="F50" s="69">
        <v>4239900</v>
      </c>
      <c r="G50" s="77" t="s">
        <v>51</v>
      </c>
      <c r="H50" s="85"/>
      <c r="I50" s="63">
        <v>4157.5</v>
      </c>
      <c r="J50" s="63">
        <v>4159.5</v>
      </c>
      <c r="K50" s="63">
        <v>4159.7</v>
      </c>
      <c r="L50" s="64">
        <f>7752+9574.8</f>
        <v>17326.8</v>
      </c>
      <c r="M50" s="64"/>
      <c r="N50" s="64"/>
      <c r="O50" s="50">
        <f t="shared" si="19"/>
        <v>21484.3</v>
      </c>
      <c r="P50" s="50">
        <f t="shared" si="20"/>
        <v>4159.5</v>
      </c>
      <c r="Q50" s="50">
        <f t="shared" si="21"/>
        <v>4159.7</v>
      </c>
      <c r="R50" s="5"/>
      <c r="S50" s="88">
        <v>220000</v>
      </c>
      <c r="T50" s="82">
        <v>611</v>
      </c>
    </row>
    <row r="51" spans="1:20" s="17" customFormat="1" ht="18.75" customHeight="1">
      <c r="A51" s="75"/>
      <c r="B51" s="24"/>
      <c r="C51" s="24"/>
      <c r="D51" s="26">
        <v>864</v>
      </c>
      <c r="E51" s="77" t="s">
        <v>63</v>
      </c>
      <c r="F51" s="69">
        <v>4239900</v>
      </c>
      <c r="G51" s="77" t="s">
        <v>66</v>
      </c>
      <c r="H51" s="85"/>
      <c r="I51" s="63">
        <v>450</v>
      </c>
      <c r="J51" s="63">
        <v>450</v>
      </c>
      <c r="K51" s="63">
        <v>450</v>
      </c>
      <c r="L51" s="64">
        <v>800</v>
      </c>
      <c r="M51" s="64"/>
      <c r="N51" s="64"/>
      <c r="O51" s="50">
        <f t="shared" si="19"/>
        <v>1250</v>
      </c>
      <c r="P51" s="50">
        <f t="shared" si="20"/>
        <v>450</v>
      </c>
      <c r="Q51" s="50">
        <f t="shared" si="21"/>
        <v>450</v>
      </c>
      <c r="R51" s="5"/>
      <c r="S51" s="88">
        <v>182713</v>
      </c>
      <c r="T51" s="82">
        <v>611</v>
      </c>
    </row>
    <row r="52" spans="1:20" s="17" customFormat="1" ht="44.25" customHeight="1">
      <c r="A52" s="75"/>
      <c r="B52" s="66" t="s">
        <v>67</v>
      </c>
      <c r="C52" s="24" t="s">
        <v>32</v>
      </c>
      <c r="D52" s="26">
        <v>864</v>
      </c>
      <c r="E52" s="61" t="s">
        <v>68</v>
      </c>
      <c r="F52" s="61" t="s">
        <v>43</v>
      </c>
      <c r="G52" s="60">
        <v>621</v>
      </c>
      <c r="H52" s="86">
        <v>20000</v>
      </c>
      <c r="I52" s="86">
        <v>10140</v>
      </c>
      <c r="J52" s="86">
        <v>10155.1</v>
      </c>
      <c r="K52" s="63">
        <v>10193.1</v>
      </c>
      <c r="L52" s="87"/>
      <c r="M52" s="87"/>
      <c r="N52" s="64"/>
      <c r="O52" s="50">
        <f t="shared" si="19"/>
        <v>10140</v>
      </c>
      <c r="P52" s="50">
        <f t="shared" si="20"/>
        <v>10155.1</v>
      </c>
      <c r="Q52" s="50">
        <f t="shared" si="21"/>
        <v>10193.1</v>
      </c>
      <c r="R52" s="5"/>
      <c r="S52" s="88">
        <v>700500</v>
      </c>
      <c r="T52" s="82">
        <v>611</v>
      </c>
    </row>
    <row r="53" spans="1:20" s="67" customFormat="1" ht="20.25" customHeight="1">
      <c r="A53" s="90"/>
      <c r="B53" s="72" t="s">
        <v>69</v>
      </c>
      <c r="C53" s="72" t="s">
        <v>32</v>
      </c>
      <c r="D53" s="26">
        <v>864</v>
      </c>
      <c r="E53" s="61" t="s">
        <v>63</v>
      </c>
      <c r="F53" s="61" t="s">
        <v>70</v>
      </c>
      <c r="G53" s="69">
        <v>612</v>
      </c>
      <c r="H53" s="69">
        <f>4833.8+655.2</f>
        <v>5489</v>
      </c>
      <c r="I53" s="86"/>
      <c r="J53" s="86"/>
      <c r="K53" s="86"/>
      <c r="L53" s="87">
        <v>858</v>
      </c>
      <c r="M53" s="87"/>
      <c r="N53" s="87"/>
      <c r="O53" s="50">
        <f t="shared" si="19"/>
        <v>858</v>
      </c>
      <c r="P53" s="50">
        <f t="shared" si="20"/>
        <v>0</v>
      </c>
      <c r="Q53" s="50">
        <f t="shared" si="21"/>
        <v>0</v>
      </c>
      <c r="R53" s="5"/>
      <c r="S53" s="81">
        <v>400000</v>
      </c>
      <c r="T53" s="82">
        <v>621</v>
      </c>
    </row>
    <row r="54" spans="1:21" s="67" customFormat="1" ht="39" customHeight="1">
      <c r="A54" s="90"/>
      <c r="B54" s="72"/>
      <c r="C54" s="72"/>
      <c r="D54" s="26">
        <v>864</v>
      </c>
      <c r="E54" s="61" t="s">
        <v>63</v>
      </c>
      <c r="F54" s="61" t="s">
        <v>70</v>
      </c>
      <c r="G54" s="69">
        <v>622</v>
      </c>
      <c r="H54" s="69"/>
      <c r="I54" s="86">
        <v>5200</v>
      </c>
      <c r="J54" s="86">
        <v>5432.9</v>
      </c>
      <c r="K54" s="86">
        <v>0</v>
      </c>
      <c r="L54" s="87"/>
      <c r="M54" s="87"/>
      <c r="N54" s="87"/>
      <c r="O54" s="50">
        <f t="shared" si="19"/>
        <v>5200</v>
      </c>
      <c r="P54" s="50">
        <f t="shared" si="20"/>
        <v>5432.9</v>
      </c>
      <c r="Q54" s="50">
        <f t="shared" si="21"/>
        <v>0</v>
      </c>
      <c r="R54" s="5"/>
      <c r="S54" s="91">
        <v>975579</v>
      </c>
      <c r="T54" s="82">
        <v>611</v>
      </c>
      <c r="U54" s="92">
        <f>S54+S59+S61</f>
        <v>1684579</v>
      </c>
    </row>
    <row r="55" spans="1:20" s="17" customFormat="1" ht="63.75" customHeight="1">
      <c r="A55" s="93"/>
      <c r="B55" s="66" t="s">
        <v>71</v>
      </c>
      <c r="C55" s="24" t="s">
        <v>32</v>
      </c>
      <c r="D55" s="26">
        <v>864</v>
      </c>
      <c r="E55" s="61" t="s">
        <v>72</v>
      </c>
      <c r="F55" s="61" t="s">
        <v>45</v>
      </c>
      <c r="G55" s="60">
        <v>521</v>
      </c>
      <c r="H55" s="69"/>
      <c r="I55" s="86"/>
      <c r="J55" s="86"/>
      <c r="K55" s="63"/>
      <c r="L55" s="87">
        <v>16000</v>
      </c>
      <c r="M55" s="87"/>
      <c r="N55" s="64"/>
      <c r="O55" s="50">
        <f t="shared" si="19"/>
        <v>16000</v>
      </c>
      <c r="P55" s="50">
        <f t="shared" si="20"/>
        <v>0</v>
      </c>
      <c r="Q55" s="50">
        <f t="shared" si="21"/>
        <v>0</v>
      </c>
      <c r="R55" s="5"/>
      <c r="S55" s="94">
        <v>17192900</v>
      </c>
      <c r="T55" s="95">
        <v>611</v>
      </c>
    </row>
    <row r="56" spans="1:20" s="67" customFormat="1" ht="51.75" customHeight="1">
      <c r="A56" s="96"/>
      <c r="B56" s="66" t="s">
        <v>73</v>
      </c>
      <c r="C56" s="24" t="s">
        <v>32</v>
      </c>
      <c r="D56" s="26"/>
      <c r="E56" s="61"/>
      <c r="F56" s="61"/>
      <c r="G56" s="60"/>
      <c r="H56" s="85"/>
      <c r="I56" s="97"/>
      <c r="J56" s="97"/>
      <c r="K56" s="63"/>
      <c r="L56" s="98"/>
      <c r="M56" s="98"/>
      <c r="N56" s="64"/>
      <c r="O56" s="50">
        <f t="shared" si="19"/>
        <v>0</v>
      </c>
      <c r="P56" s="50">
        <f t="shared" si="20"/>
        <v>0</v>
      </c>
      <c r="Q56" s="50">
        <f t="shared" si="21"/>
        <v>0</v>
      </c>
      <c r="R56" s="5"/>
      <c r="S56" s="99">
        <v>7752000</v>
      </c>
      <c r="T56" s="100">
        <v>612</v>
      </c>
    </row>
    <row r="57" spans="1:20" s="67" customFormat="1" ht="45.75" customHeight="1">
      <c r="A57" s="96"/>
      <c r="B57" s="101" t="s">
        <v>74</v>
      </c>
      <c r="C57" s="72" t="s">
        <v>32</v>
      </c>
      <c r="D57" s="26"/>
      <c r="E57" s="61"/>
      <c r="F57" s="61"/>
      <c r="G57" s="60"/>
      <c r="H57" s="85"/>
      <c r="I57" s="97"/>
      <c r="J57" s="97"/>
      <c r="K57" s="63"/>
      <c r="L57" s="98"/>
      <c r="M57" s="98"/>
      <c r="N57" s="64"/>
      <c r="O57" s="50">
        <f t="shared" si="19"/>
        <v>0</v>
      </c>
      <c r="P57" s="50">
        <f t="shared" si="20"/>
        <v>0</v>
      </c>
      <c r="Q57" s="50">
        <f t="shared" si="21"/>
        <v>0</v>
      </c>
      <c r="R57" s="5"/>
      <c r="S57" s="88">
        <v>533344</v>
      </c>
      <c r="T57" s="82">
        <v>611</v>
      </c>
    </row>
    <row r="58" spans="1:21" s="112" customFormat="1" ht="66.75" customHeight="1">
      <c r="A58" s="102"/>
      <c r="B58" s="66" t="s">
        <v>75</v>
      </c>
      <c r="C58" s="24" t="s">
        <v>32</v>
      </c>
      <c r="D58" s="103">
        <v>864</v>
      </c>
      <c r="E58" s="104" t="s">
        <v>72</v>
      </c>
      <c r="F58" s="105" t="s">
        <v>36</v>
      </c>
      <c r="G58" s="106">
        <v>622</v>
      </c>
      <c r="H58" s="23">
        <f>2874.8</f>
        <v>2874.8</v>
      </c>
      <c r="I58" s="107">
        <f>2874.8+270</f>
        <v>3144.8</v>
      </c>
      <c r="J58" s="107">
        <f>2874.8+270</f>
        <v>3144.8</v>
      </c>
      <c r="K58" s="107">
        <f>2874.8+270</f>
        <v>3144.8</v>
      </c>
      <c r="L58" s="108">
        <v>1307.6</v>
      </c>
      <c r="M58" s="108"/>
      <c r="N58" s="108"/>
      <c r="O58" s="50">
        <f t="shared" si="19"/>
        <v>4452.4</v>
      </c>
      <c r="P58" s="50">
        <f t="shared" si="20"/>
        <v>3144.8</v>
      </c>
      <c r="Q58" s="50">
        <f t="shared" si="21"/>
        <v>3144.8</v>
      </c>
      <c r="R58" s="109"/>
      <c r="S58" s="110">
        <f>1003000+638616.64</f>
        <v>1641616.6400000001</v>
      </c>
      <c r="T58" s="95">
        <v>621</v>
      </c>
      <c r="U58" s="111">
        <f>S58+S46+S53</f>
        <v>731234.6300000001</v>
      </c>
    </row>
    <row r="59" spans="1:20" ht="16.5">
      <c r="A59" s="113"/>
      <c r="B59" s="113"/>
      <c r="C59" s="59"/>
      <c r="D59" s="114"/>
      <c r="E59" s="114"/>
      <c r="F59" s="115"/>
      <c r="G59" s="114"/>
      <c r="H59" s="114"/>
      <c r="I59" s="114"/>
      <c r="J59" s="114"/>
      <c r="K59" s="114"/>
      <c r="L59" s="116"/>
      <c r="M59" s="116"/>
      <c r="N59" s="116"/>
      <c r="O59" s="114"/>
      <c r="P59" s="114"/>
      <c r="Q59" s="114"/>
      <c r="S59" s="117">
        <v>39000</v>
      </c>
      <c r="T59" s="118">
        <v>611</v>
      </c>
    </row>
    <row r="60" spans="1:20" s="17" customFormat="1" ht="25.5" customHeight="1">
      <c r="A60" s="105" t="s">
        <v>76</v>
      </c>
      <c r="B60" s="119" t="s">
        <v>77</v>
      </c>
      <c r="C60" s="120" t="s">
        <v>15</v>
      </c>
      <c r="D60" s="26"/>
      <c r="E60" s="61"/>
      <c r="F60" s="61"/>
      <c r="G60" s="60"/>
      <c r="H60" s="97">
        <f aca="true" t="shared" si="22" ref="H60:Q60">H61</f>
        <v>109516.4</v>
      </c>
      <c r="I60" s="97">
        <f t="shared" si="22"/>
        <v>119759</v>
      </c>
      <c r="J60" s="97">
        <f t="shared" si="22"/>
        <v>120583.09999999999</v>
      </c>
      <c r="K60" s="97">
        <f t="shared" si="22"/>
        <v>121913.8</v>
      </c>
      <c r="L60" s="98">
        <f t="shared" si="22"/>
        <v>5218.8</v>
      </c>
      <c r="M60" s="98">
        <f t="shared" si="22"/>
        <v>-4761.1</v>
      </c>
      <c r="N60" s="98">
        <f t="shared" si="22"/>
        <v>-4761.1</v>
      </c>
      <c r="O60" s="121">
        <f t="shared" si="22"/>
        <v>124977.79999999999</v>
      </c>
      <c r="P60" s="121">
        <f t="shared" si="22"/>
        <v>115821.99999999999</v>
      </c>
      <c r="Q60" s="121">
        <f t="shared" si="22"/>
        <v>117152.7</v>
      </c>
      <c r="R60" s="31"/>
      <c r="S60" s="122">
        <f>1886583.36+7201200</f>
        <v>9087783.36</v>
      </c>
      <c r="T60" s="123">
        <v>611</v>
      </c>
    </row>
    <row r="61" spans="1:20" s="17" customFormat="1" ht="69.75">
      <c r="A61" s="114"/>
      <c r="B61" s="114"/>
      <c r="C61" s="25" t="s">
        <v>25</v>
      </c>
      <c r="D61" s="26">
        <v>864</v>
      </c>
      <c r="E61" s="61"/>
      <c r="F61" s="61"/>
      <c r="G61" s="60"/>
      <c r="H61" s="28">
        <f aca="true" t="shared" si="23" ref="H61:Q61">SUM(H63:H73)</f>
        <v>109516.4</v>
      </c>
      <c r="I61" s="124">
        <f t="shared" si="23"/>
        <v>119759</v>
      </c>
      <c r="J61" s="124">
        <f t="shared" si="23"/>
        <v>120583.09999999999</v>
      </c>
      <c r="K61" s="124">
        <f t="shared" si="23"/>
        <v>121913.8</v>
      </c>
      <c r="L61" s="125">
        <f t="shared" si="23"/>
        <v>5218.8</v>
      </c>
      <c r="M61" s="125">
        <f t="shared" si="23"/>
        <v>-4761.1</v>
      </c>
      <c r="N61" s="125">
        <f t="shared" si="23"/>
        <v>-4761.1</v>
      </c>
      <c r="O61" s="124">
        <f t="shared" si="23"/>
        <v>124977.79999999999</v>
      </c>
      <c r="P61" s="124">
        <f t="shared" si="23"/>
        <v>115821.99999999999</v>
      </c>
      <c r="Q61" s="124">
        <f t="shared" si="23"/>
        <v>117152.7</v>
      </c>
      <c r="R61" s="5"/>
      <c r="S61" s="117">
        <v>670000</v>
      </c>
      <c r="T61" s="123">
        <v>611</v>
      </c>
    </row>
    <row r="62" spans="1:21" s="17" customFormat="1" ht="43.5">
      <c r="A62" s="24" t="s">
        <v>26</v>
      </c>
      <c r="B62" s="66"/>
      <c r="C62" s="58"/>
      <c r="D62" s="26">
        <v>864</v>
      </c>
      <c r="E62" s="61"/>
      <c r="F62" s="61"/>
      <c r="G62" s="60"/>
      <c r="H62" s="62"/>
      <c r="I62" s="62"/>
      <c r="J62" s="62"/>
      <c r="K62" s="60"/>
      <c r="L62" s="126"/>
      <c r="M62" s="126"/>
      <c r="N62" s="15"/>
      <c r="O62" s="62"/>
      <c r="P62" s="62"/>
      <c r="Q62" s="60"/>
      <c r="R62" s="5"/>
      <c r="S62" s="127">
        <v>800000</v>
      </c>
      <c r="T62" s="123">
        <v>622</v>
      </c>
      <c r="U62" s="128">
        <f>S62</f>
        <v>800000</v>
      </c>
    </row>
    <row r="63" spans="1:20" s="67" customFormat="1" ht="27.75" customHeight="1">
      <c r="A63" s="90"/>
      <c r="B63" s="24" t="s">
        <v>78</v>
      </c>
      <c r="C63" s="24" t="s">
        <v>32</v>
      </c>
      <c r="D63" s="26">
        <v>864</v>
      </c>
      <c r="E63" s="61" t="s">
        <v>68</v>
      </c>
      <c r="F63" s="61" t="s">
        <v>43</v>
      </c>
      <c r="G63" s="69" t="s">
        <v>79</v>
      </c>
      <c r="H63" s="60">
        <f>74219.8-20000+244.9</f>
        <v>54464.700000000004</v>
      </c>
      <c r="I63" s="60">
        <f>244.9</f>
        <v>244.9</v>
      </c>
      <c r="J63" s="63">
        <f>244.9</f>
        <v>244.9</v>
      </c>
      <c r="K63" s="63">
        <f>244.9</f>
        <v>244.9</v>
      </c>
      <c r="L63" s="15"/>
      <c r="M63" s="64"/>
      <c r="N63" s="64"/>
      <c r="O63" s="50">
        <f>I63+L63</f>
        <v>244.9</v>
      </c>
      <c r="P63" s="50">
        <f>J63+M63</f>
        <v>244.9</v>
      </c>
      <c r="Q63" s="50">
        <f>K63+N63</f>
        <v>244.9</v>
      </c>
      <c r="R63" s="129"/>
      <c r="S63" s="99">
        <f>10374800-800000</f>
        <v>9574800</v>
      </c>
      <c r="T63" s="82">
        <v>612</v>
      </c>
    </row>
    <row r="64" spans="1:18" s="67" customFormat="1" ht="27.75" customHeight="1">
      <c r="A64" s="90"/>
      <c r="B64" s="24"/>
      <c r="C64" s="24"/>
      <c r="D64" s="26">
        <v>864</v>
      </c>
      <c r="E64" s="61" t="s">
        <v>68</v>
      </c>
      <c r="F64" s="61" t="s">
        <v>43</v>
      </c>
      <c r="G64" s="69" t="s">
        <v>80</v>
      </c>
      <c r="H64" s="60"/>
      <c r="I64" s="60">
        <v>65796.8</v>
      </c>
      <c r="J64" s="63">
        <v>67674.7</v>
      </c>
      <c r="K64" s="63">
        <v>68611.4</v>
      </c>
      <c r="L64" s="15">
        <v>-181.6</v>
      </c>
      <c r="M64" s="64">
        <v>-4761.1</v>
      </c>
      <c r="N64" s="64">
        <v>-4761.1</v>
      </c>
      <c r="O64" s="50">
        <f aca="true" t="shared" si="24" ref="O64:O73">I64+L64</f>
        <v>65615.2</v>
      </c>
      <c r="P64" s="50">
        <f aca="true" t="shared" si="25" ref="P64:P73">J64+M64</f>
        <v>62913.6</v>
      </c>
      <c r="Q64" s="50">
        <f aca="true" t="shared" si="26" ref="Q64:Q73">K64+N64</f>
        <v>63850.299999999996</v>
      </c>
      <c r="R64" s="5"/>
    </row>
    <row r="65" spans="1:20" s="67" customFormat="1" ht="27.75" customHeight="1">
      <c r="A65" s="90"/>
      <c r="B65" s="24"/>
      <c r="C65" s="24"/>
      <c r="D65" s="26">
        <v>864</v>
      </c>
      <c r="E65" s="61" t="s">
        <v>68</v>
      </c>
      <c r="F65" s="61" t="s">
        <v>43</v>
      </c>
      <c r="G65" s="69">
        <v>622</v>
      </c>
      <c r="H65" s="60"/>
      <c r="I65" s="60"/>
      <c r="J65" s="63"/>
      <c r="K65" s="63"/>
      <c r="L65" s="15">
        <v>1265.3</v>
      </c>
      <c r="M65" s="64"/>
      <c r="N65" s="64"/>
      <c r="O65" s="50">
        <f>I65+L65</f>
        <v>1265.3</v>
      </c>
      <c r="P65" s="50">
        <f>J65+M65</f>
        <v>0</v>
      </c>
      <c r="Q65" s="50">
        <f>K65+N65</f>
        <v>0</v>
      </c>
      <c r="R65" s="5"/>
      <c r="S65" s="67">
        <f>-3326212.82+1240864+1734700+169000</f>
        <v>-181648.81999999983</v>
      </c>
      <c r="T65" s="67">
        <f>1265300</f>
        <v>1265300</v>
      </c>
    </row>
    <row r="66" spans="1:18" s="67" customFormat="1" ht="43.5" customHeight="1">
      <c r="A66" s="65"/>
      <c r="B66" s="66" t="s">
        <v>44</v>
      </c>
      <c r="C66" s="24" t="s">
        <v>32</v>
      </c>
      <c r="D66" s="26">
        <v>864</v>
      </c>
      <c r="E66" s="61" t="s">
        <v>68</v>
      </c>
      <c r="F66" s="61" t="s">
        <v>43</v>
      </c>
      <c r="G66" s="60">
        <v>622</v>
      </c>
      <c r="H66" s="60">
        <v>831.2</v>
      </c>
      <c r="I66" s="60">
        <f>333.5+966.9</f>
        <v>1300.4</v>
      </c>
      <c r="J66" s="60">
        <f>333.5</f>
        <v>333.5</v>
      </c>
      <c r="K66" s="60">
        <f>333.5</f>
        <v>333.5</v>
      </c>
      <c r="L66" s="64">
        <v>4109</v>
      </c>
      <c r="M66" s="15"/>
      <c r="N66" s="15"/>
      <c r="O66" s="50">
        <f t="shared" si="24"/>
        <v>5409.4</v>
      </c>
      <c r="P66" s="50">
        <f t="shared" si="25"/>
        <v>333.5</v>
      </c>
      <c r="Q66" s="50">
        <f t="shared" si="26"/>
        <v>333.5</v>
      </c>
      <c r="R66" s="5"/>
    </row>
    <row r="67" spans="1:18" s="17" customFormat="1" ht="47.25" customHeight="1">
      <c r="A67" s="75"/>
      <c r="B67" s="130" t="s">
        <v>81</v>
      </c>
      <c r="C67" s="24" t="s">
        <v>32</v>
      </c>
      <c r="D67" s="26">
        <v>864</v>
      </c>
      <c r="E67" s="61" t="s">
        <v>68</v>
      </c>
      <c r="F67" s="61" t="s">
        <v>82</v>
      </c>
      <c r="G67" s="60">
        <v>630</v>
      </c>
      <c r="H67" s="131">
        <v>32116.3</v>
      </c>
      <c r="I67" s="131">
        <v>32116.3</v>
      </c>
      <c r="J67" s="131">
        <v>32116.3</v>
      </c>
      <c r="K67" s="60">
        <v>32116.3</v>
      </c>
      <c r="L67" s="15"/>
      <c r="M67" s="15"/>
      <c r="N67" s="15"/>
      <c r="O67" s="50">
        <f t="shared" si="24"/>
        <v>32116.3</v>
      </c>
      <c r="P67" s="50">
        <f t="shared" si="25"/>
        <v>32116.3</v>
      </c>
      <c r="Q67" s="50">
        <f t="shared" si="26"/>
        <v>32116.3</v>
      </c>
      <c r="R67" s="5"/>
    </row>
    <row r="68" spans="1:18" s="17" customFormat="1" ht="46.5" customHeight="1">
      <c r="A68" s="96"/>
      <c r="B68" s="66" t="s">
        <v>83</v>
      </c>
      <c r="C68" s="24" t="s">
        <v>32</v>
      </c>
      <c r="D68" s="26"/>
      <c r="E68" s="61"/>
      <c r="F68" s="61"/>
      <c r="G68" s="60"/>
      <c r="H68" s="131"/>
      <c r="I68" s="131"/>
      <c r="J68" s="131"/>
      <c r="K68" s="106"/>
      <c r="L68" s="15"/>
      <c r="M68" s="15"/>
      <c r="N68" s="132"/>
      <c r="O68" s="50">
        <f t="shared" si="24"/>
        <v>0</v>
      </c>
      <c r="P68" s="50">
        <f t="shared" si="25"/>
        <v>0</v>
      </c>
      <c r="Q68" s="50">
        <f t="shared" si="26"/>
        <v>0</v>
      </c>
      <c r="R68" s="5"/>
    </row>
    <row r="69" spans="1:18" s="67" customFormat="1" ht="79.5" customHeight="1">
      <c r="A69" s="133"/>
      <c r="B69" s="130" t="s">
        <v>84</v>
      </c>
      <c r="C69" s="24" t="s">
        <v>32</v>
      </c>
      <c r="D69" s="26">
        <v>864</v>
      </c>
      <c r="E69" s="77" t="s">
        <v>85</v>
      </c>
      <c r="F69" s="77" t="s">
        <v>86</v>
      </c>
      <c r="G69" s="69" t="s">
        <v>87</v>
      </c>
      <c r="H69" s="131">
        <f>2206.1</f>
        <v>2206.1</v>
      </c>
      <c r="I69" s="134">
        <f>2280</f>
        <v>2280</v>
      </c>
      <c r="J69" s="131">
        <v>2098.7</v>
      </c>
      <c r="K69" s="63">
        <v>2400</v>
      </c>
      <c r="L69" s="64"/>
      <c r="M69" s="15"/>
      <c r="N69" s="64"/>
      <c r="O69" s="50">
        <f t="shared" si="24"/>
        <v>2280</v>
      </c>
      <c r="P69" s="50">
        <f t="shared" si="25"/>
        <v>2098.7</v>
      </c>
      <c r="Q69" s="50">
        <f t="shared" si="26"/>
        <v>2400</v>
      </c>
      <c r="R69" s="5"/>
    </row>
    <row r="70" spans="1:18" s="67" customFormat="1" ht="88.5" customHeight="1">
      <c r="A70" s="133"/>
      <c r="B70" s="130" t="s">
        <v>88</v>
      </c>
      <c r="C70" s="24" t="s">
        <v>32</v>
      </c>
      <c r="D70" s="26">
        <v>864</v>
      </c>
      <c r="E70" s="77" t="s">
        <v>89</v>
      </c>
      <c r="F70" s="77" t="s">
        <v>90</v>
      </c>
      <c r="G70" s="69" t="s">
        <v>87</v>
      </c>
      <c r="H70" s="134">
        <f>5300</f>
        <v>5300</v>
      </c>
      <c r="I70" s="134">
        <f>5300</f>
        <v>5300</v>
      </c>
      <c r="J70" s="134">
        <f>5300</f>
        <v>5300</v>
      </c>
      <c r="K70" s="63">
        <v>5300</v>
      </c>
      <c r="L70" s="64"/>
      <c r="M70" s="64"/>
      <c r="N70" s="64"/>
      <c r="O70" s="50">
        <f t="shared" si="24"/>
        <v>5300</v>
      </c>
      <c r="P70" s="50">
        <f t="shared" si="25"/>
        <v>5300</v>
      </c>
      <c r="Q70" s="50">
        <f t="shared" si="26"/>
        <v>5300</v>
      </c>
      <c r="R70" s="5"/>
    </row>
    <row r="71" spans="1:18" s="67" customFormat="1" ht="78.75" customHeight="1">
      <c r="A71" s="133"/>
      <c r="B71" s="130" t="s">
        <v>91</v>
      </c>
      <c r="C71" s="24" t="s">
        <v>32</v>
      </c>
      <c r="D71" s="26">
        <v>864</v>
      </c>
      <c r="E71" s="77" t="s">
        <v>92</v>
      </c>
      <c r="F71" s="77" t="s">
        <v>93</v>
      </c>
      <c r="G71" s="69">
        <v>330</v>
      </c>
      <c r="H71" s="134">
        <f>1573</f>
        <v>1573</v>
      </c>
      <c r="I71" s="134">
        <v>1695.5</v>
      </c>
      <c r="J71" s="134">
        <v>1789.9</v>
      </c>
      <c r="K71" s="60">
        <v>1882.6</v>
      </c>
      <c r="L71" s="64"/>
      <c r="M71" s="64"/>
      <c r="N71" s="15"/>
      <c r="O71" s="50">
        <f t="shared" si="24"/>
        <v>1695.5</v>
      </c>
      <c r="P71" s="50">
        <f t="shared" si="25"/>
        <v>1789.9</v>
      </c>
      <c r="Q71" s="50">
        <f t="shared" si="26"/>
        <v>1882.6</v>
      </c>
      <c r="R71" s="5"/>
    </row>
    <row r="72" spans="1:18" s="67" customFormat="1" ht="26.25" customHeight="1">
      <c r="A72" s="65"/>
      <c r="B72" s="24" t="s">
        <v>94</v>
      </c>
      <c r="C72" s="24" t="s">
        <v>32</v>
      </c>
      <c r="D72" s="26">
        <v>864</v>
      </c>
      <c r="E72" s="61" t="s">
        <v>68</v>
      </c>
      <c r="F72" s="77" t="s">
        <v>36</v>
      </c>
      <c r="G72" s="69">
        <v>612</v>
      </c>
      <c r="H72" s="134"/>
      <c r="I72" s="134">
        <v>1131.5</v>
      </c>
      <c r="J72" s="134">
        <v>1131.5</v>
      </c>
      <c r="K72" s="60">
        <v>1131.5</v>
      </c>
      <c r="L72" s="64"/>
      <c r="M72" s="64"/>
      <c r="N72" s="15"/>
      <c r="O72" s="50">
        <f t="shared" si="24"/>
        <v>1131.5</v>
      </c>
      <c r="P72" s="50">
        <f t="shared" si="25"/>
        <v>1131.5</v>
      </c>
      <c r="Q72" s="50">
        <f t="shared" si="26"/>
        <v>1131.5</v>
      </c>
      <c r="R72" s="5"/>
    </row>
    <row r="73" spans="1:19" s="17" customFormat="1" ht="49.5" customHeight="1">
      <c r="A73" s="65"/>
      <c r="B73" s="24"/>
      <c r="C73" s="24"/>
      <c r="D73" s="26">
        <v>864</v>
      </c>
      <c r="E73" s="61" t="s">
        <v>68</v>
      </c>
      <c r="F73" s="77" t="s">
        <v>36</v>
      </c>
      <c r="G73" s="69" t="s">
        <v>95</v>
      </c>
      <c r="H73" s="60">
        <f>2000+9893.6+1131.5</f>
        <v>13025.1</v>
      </c>
      <c r="I73" s="60">
        <v>9893.6</v>
      </c>
      <c r="J73" s="60">
        <v>9893.6</v>
      </c>
      <c r="K73" s="60">
        <v>9893.6</v>
      </c>
      <c r="L73" s="15">
        <f>947-920.9</f>
        <v>26.100000000000023</v>
      </c>
      <c r="M73" s="15"/>
      <c r="N73" s="15"/>
      <c r="O73" s="50">
        <f t="shared" si="24"/>
        <v>9919.7</v>
      </c>
      <c r="P73" s="50">
        <f t="shared" si="25"/>
        <v>9893.6</v>
      </c>
      <c r="Q73" s="50">
        <f t="shared" si="26"/>
        <v>9893.6</v>
      </c>
      <c r="R73" s="5"/>
      <c r="S73" s="17">
        <f>-920900+947000</f>
        <v>26100</v>
      </c>
    </row>
    <row r="74" spans="1:18" s="17" customFormat="1" ht="34.5" customHeight="1">
      <c r="A74" s="93" t="s">
        <v>96</v>
      </c>
      <c r="B74" s="135" t="s">
        <v>97</v>
      </c>
      <c r="C74" s="120" t="s">
        <v>15</v>
      </c>
      <c r="D74" s="26"/>
      <c r="E74" s="61"/>
      <c r="F74" s="61"/>
      <c r="G74" s="69"/>
      <c r="H74" s="136">
        <f aca="true" t="shared" si="27" ref="H74:Q74">H75</f>
        <v>17086.6</v>
      </c>
      <c r="I74" s="137">
        <f t="shared" si="27"/>
        <v>19050.300000000003</v>
      </c>
      <c r="J74" s="137">
        <f t="shared" si="27"/>
        <v>19546.300000000003</v>
      </c>
      <c r="K74" s="137">
        <f t="shared" si="27"/>
        <v>19620.600000000002</v>
      </c>
      <c r="L74" s="125">
        <f t="shared" si="27"/>
        <v>1820.2900000000002</v>
      </c>
      <c r="M74" s="125">
        <f t="shared" si="27"/>
        <v>0</v>
      </c>
      <c r="N74" s="125">
        <f t="shared" si="27"/>
        <v>0</v>
      </c>
      <c r="O74" s="138">
        <f t="shared" si="27"/>
        <v>20870.6</v>
      </c>
      <c r="P74" s="138">
        <f t="shared" si="27"/>
        <v>19546.300000000003</v>
      </c>
      <c r="Q74" s="138">
        <f t="shared" si="27"/>
        <v>19620.600000000002</v>
      </c>
      <c r="R74" s="139"/>
    </row>
    <row r="75" spans="1:18" s="17" customFormat="1" ht="76.5" customHeight="1">
      <c r="A75" s="24" t="s">
        <v>26</v>
      </c>
      <c r="B75" s="2"/>
      <c r="C75" s="25" t="s">
        <v>25</v>
      </c>
      <c r="D75" s="26">
        <v>864</v>
      </c>
      <c r="E75" s="61"/>
      <c r="F75" s="61"/>
      <c r="G75" s="60"/>
      <c r="H75" s="28">
        <f aca="true" t="shared" si="28" ref="H75:Q75">SUM(H76:H77)</f>
        <v>17086.6</v>
      </c>
      <c r="I75" s="124">
        <f t="shared" si="28"/>
        <v>19050.300000000003</v>
      </c>
      <c r="J75" s="124">
        <f t="shared" si="28"/>
        <v>19546.300000000003</v>
      </c>
      <c r="K75" s="124">
        <f t="shared" si="28"/>
        <v>19620.600000000002</v>
      </c>
      <c r="L75" s="125">
        <f t="shared" si="28"/>
        <v>1820.2900000000002</v>
      </c>
      <c r="M75" s="125">
        <f t="shared" si="28"/>
        <v>0</v>
      </c>
      <c r="N75" s="125">
        <f t="shared" si="28"/>
        <v>0</v>
      </c>
      <c r="O75" s="124">
        <f t="shared" si="28"/>
        <v>20870.6</v>
      </c>
      <c r="P75" s="124">
        <f t="shared" si="28"/>
        <v>19546.300000000003</v>
      </c>
      <c r="Q75" s="124">
        <f t="shared" si="28"/>
        <v>19620.600000000002</v>
      </c>
      <c r="R75" s="5"/>
    </row>
    <row r="76" spans="1:18" s="17" customFormat="1" ht="85.5" customHeight="1">
      <c r="A76" s="24"/>
      <c r="B76" s="140" t="s">
        <v>98</v>
      </c>
      <c r="C76" s="24" t="s">
        <v>32</v>
      </c>
      <c r="D76" s="26">
        <v>864</v>
      </c>
      <c r="E76" s="141">
        <v>1105</v>
      </c>
      <c r="F76" s="77" t="s">
        <v>99</v>
      </c>
      <c r="G76" s="69" t="s">
        <v>100</v>
      </c>
      <c r="H76" s="131">
        <v>17036.1</v>
      </c>
      <c r="I76" s="131">
        <f>17701.4+1298.5</f>
        <v>18999.9</v>
      </c>
      <c r="J76" s="131">
        <f>18144.5+1351.4</f>
        <v>19495.9</v>
      </c>
      <c r="K76" s="60">
        <f>18218.8+1351.4</f>
        <v>19570.2</v>
      </c>
      <c r="L76" s="64">
        <v>-57.86</v>
      </c>
      <c r="M76" s="15"/>
      <c r="N76" s="15"/>
      <c r="O76" s="50">
        <f>18942-3</f>
        <v>18939</v>
      </c>
      <c r="P76" s="50">
        <f aca="true" t="shared" si="29" ref="O76:Q78">J76+M76</f>
        <v>19495.9</v>
      </c>
      <c r="Q76" s="50">
        <f t="shared" si="29"/>
        <v>19570.2</v>
      </c>
      <c r="R76" s="5"/>
    </row>
    <row r="77" spans="1:18" s="67" customFormat="1" ht="43.5">
      <c r="A77" s="75"/>
      <c r="B77" s="130" t="s">
        <v>101</v>
      </c>
      <c r="C77" s="24" t="s">
        <v>32</v>
      </c>
      <c r="D77" s="26">
        <v>864</v>
      </c>
      <c r="E77" s="60" t="s">
        <v>92</v>
      </c>
      <c r="F77" s="60" t="s">
        <v>102</v>
      </c>
      <c r="G77" s="69" t="s">
        <v>103</v>
      </c>
      <c r="H77" s="131">
        <v>50.5</v>
      </c>
      <c r="I77" s="131">
        <v>50.4</v>
      </c>
      <c r="J77" s="131">
        <v>50.4</v>
      </c>
      <c r="K77" s="60">
        <v>50.4</v>
      </c>
      <c r="L77" s="64">
        <v>1878.15</v>
      </c>
      <c r="M77" s="15"/>
      <c r="N77" s="15"/>
      <c r="O77" s="50">
        <f>1928.6+3</f>
        <v>1931.6</v>
      </c>
      <c r="P77" s="50">
        <f t="shared" si="29"/>
        <v>50.4</v>
      </c>
      <c r="Q77" s="50">
        <f t="shared" si="29"/>
        <v>50.4</v>
      </c>
      <c r="R77" s="5"/>
    </row>
    <row r="78" spans="1:20" s="5" customFormat="1" ht="95.25" customHeight="1">
      <c r="A78" s="113"/>
      <c r="B78" s="66" t="s">
        <v>104</v>
      </c>
      <c r="C78" s="24" t="s">
        <v>32</v>
      </c>
      <c r="D78" s="113"/>
      <c r="E78" s="113"/>
      <c r="F78" s="113"/>
      <c r="G78" s="113"/>
      <c r="H78" s="113"/>
      <c r="I78" s="113"/>
      <c r="J78" s="113"/>
      <c r="K78" s="113"/>
      <c r="L78" s="142"/>
      <c r="M78" s="142"/>
      <c r="N78" s="142"/>
      <c r="O78" s="50">
        <f t="shared" si="29"/>
        <v>0</v>
      </c>
      <c r="P78" s="50">
        <f t="shared" si="29"/>
        <v>0</v>
      </c>
      <c r="Q78" s="50">
        <f t="shared" si="29"/>
        <v>0</v>
      </c>
      <c r="R78" s="139"/>
      <c r="S78" s="139"/>
      <c r="T78" s="139"/>
    </row>
    <row r="79" spans="1:17" s="5" customFormat="1" ht="12.75" customHeight="1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4">
        <f>L9+104.4</f>
        <v>118051.59</v>
      </c>
      <c r="M79" s="145"/>
      <c r="N79" s="145"/>
      <c r="O79" s="146"/>
      <c r="P79" s="146"/>
      <c r="Q79" s="146" t="s">
        <v>105</v>
      </c>
    </row>
  </sheetData>
  <sheetProtection selectLockedCells="1" selectUnlockedCells="1"/>
  <autoFilter ref="A7:R7"/>
  <mergeCells count="38">
    <mergeCell ref="A5:A6"/>
    <mergeCell ref="B5:B6"/>
    <mergeCell ref="C5:C6"/>
    <mergeCell ref="D5:G5"/>
    <mergeCell ref="H5:K5"/>
    <mergeCell ref="L5:N5"/>
    <mergeCell ref="O5:Q5"/>
    <mergeCell ref="A8:A14"/>
    <mergeCell ref="B8:B14"/>
    <mergeCell ref="A15:A17"/>
    <mergeCell ref="B15:B17"/>
    <mergeCell ref="A23:A24"/>
    <mergeCell ref="B23:B24"/>
    <mergeCell ref="A31:A32"/>
    <mergeCell ref="B31:B32"/>
    <mergeCell ref="C31:C32"/>
    <mergeCell ref="A33:A34"/>
    <mergeCell ref="B33:B34"/>
    <mergeCell ref="C33:C34"/>
    <mergeCell ref="A35:A36"/>
    <mergeCell ref="B35:B36"/>
    <mergeCell ref="A38:A41"/>
    <mergeCell ref="B38:B41"/>
    <mergeCell ref="C38:C39"/>
    <mergeCell ref="S45:T45"/>
    <mergeCell ref="A47:A51"/>
    <mergeCell ref="B47:B51"/>
    <mergeCell ref="C47:C51"/>
    <mergeCell ref="A53:A54"/>
    <mergeCell ref="B53:B54"/>
    <mergeCell ref="C53:C54"/>
    <mergeCell ref="A63:A65"/>
    <mergeCell ref="B63:B65"/>
    <mergeCell ref="C63:C65"/>
    <mergeCell ref="A72:A73"/>
    <mergeCell ref="B72:B73"/>
    <mergeCell ref="C72:C73"/>
    <mergeCell ref="A79:K79"/>
  </mergeCells>
  <printOptions/>
  <pageMargins left="0.2361111111111111" right="0.2361111111111111" top="0.7479166666666667" bottom="0.7479166666666667" header="0.5118055555555555" footer="0.5118055555555555"/>
  <pageSetup fitToHeight="4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Natasha Vorobjeva</cp:lastModifiedBy>
  <cp:lastPrinted>2013-08-22T10:37:58Z</cp:lastPrinted>
  <dcterms:created xsi:type="dcterms:W3CDTF">2011-03-10T11:10:46Z</dcterms:created>
  <dcterms:modified xsi:type="dcterms:W3CDTF">2013-09-05T05:17:23Z</dcterms:modified>
  <cp:category/>
  <cp:version/>
  <cp:contentType/>
  <cp:contentStatus/>
  <cp:revision>10</cp:revision>
</cp:coreProperties>
</file>