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ВСЕ" sheetId="1" r:id="rId1"/>
  </sheets>
  <definedNames>
    <definedName name="_xlnm.Print_Area" localSheetId="0">'ВСЕ'!$A$1:$L$246</definedName>
    <definedName name="_xlnm.Print_Titles" localSheetId="0">'ВСЕ'!$8:$8</definedName>
    <definedName name="_xlnm._FilterDatabase" localSheetId="0" hidden="1">'ВСЕ'!$B$8:$T$246</definedName>
    <definedName name="Z_1ECE2567_BEBD_4EBD_9FB6_6B1D2E7A75DC__wvu_FilterData" localSheetId="0">'ВСЕ'!$B$8:$IN$245</definedName>
    <definedName name="Z_2E770C71_1C38_4267_B843_0DF38A913E88__wvu_Cols" localSheetId="0">'ВСЕ'!#REF!</definedName>
    <definedName name="Z_2E770C71_1C38_4267_B843_0DF38A913E88__wvu_FilterData" localSheetId="0">'ВСЕ'!$B$8:$T$245</definedName>
    <definedName name="Z_2E770C71_1C38_4267_B843_0DF38A913E88__wvu_PrintArea" localSheetId="0">'ВСЕ'!$B$2:$L$245</definedName>
    <definedName name="Z_2E770C71_1C38_4267_B843_0DF38A913E88__wvu_PrintTitles" localSheetId="0">'ВСЕ'!$8:$8</definedName>
    <definedName name="Z_2E770C71_1C38_4267_B843_0DF38A913E88__wvu_Rows" localSheetId="0">('ВСЕ'!#REF!,'ВСЕ'!$253:$260)</definedName>
    <definedName name="Z_A5DDE05F_220B_4999_A1E7_F59C6EFE5C35__wvu_Cols" localSheetId="0">'ВСЕ'!#REF!</definedName>
    <definedName name="Z_A5DDE05F_220B_4999_A1E7_F59C6EFE5C35__wvu_FilterData" localSheetId="0">'ВСЕ'!$B$8:$T$245</definedName>
    <definedName name="Z_A5DDE05F_220B_4999_A1E7_F59C6EFE5C35__wvu_PrintArea" localSheetId="0">'ВСЕ'!$A$2:$L$245</definedName>
    <definedName name="Z_A5DDE05F_220B_4999_A1E7_F59C6EFE5C35__wvu_PrintTitles" localSheetId="0">'ВСЕ'!$8:$8</definedName>
    <definedName name="Z_A5DDE05F_220B_4999_A1E7_F59C6EFE5C35__wvu_Rows" localSheetId="0">('ВСЕ'!#REF!,'ВСЕ'!$253:$260)</definedName>
    <definedName name="Z_B4AEA658_8332_4CA6_879B_8DB8F5C56D88__wvu_Cols" localSheetId="0">'ВСЕ'!#REF!</definedName>
    <definedName name="Z_B4AEA658_8332_4CA6_879B_8DB8F5C56D88__wvu_FilterData" localSheetId="0">'ВСЕ'!$8:$245</definedName>
    <definedName name="Z_B4AEA658_8332_4CA6_879B_8DB8F5C56D88__wvu_PrintArea" localSheetId="0">'ВСЕ'!$B$2:$L$245</definedName>
    <definedName name="Z_B4AEA658_8332_4CA6_879B_8DB8F5C56D88__wvu_PrintTitles" localSheetId="0">'ВСЕ'!$6:$8</definedName>
    <definedName name="Z_B4AEA658_8332_4CA6_879B_8DB8F5C56D88__wvu_Rows" localSheetId="0">(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,'ВСЕ'!#REF!)</definedName>
    <definedName name="Z_C1CCEDCD_F4AF_4C0D_913C_1EF93902D761__wvu_Cols" localSheetId="0">'ВСЕ'!#REF!</definedName>
    <definedName name="Z_C1CCEDCD_F4AF_4C0D_913C_1EF93902D761__wvu_FilterData" localSheetId="0">'ВСЕ'!$B$8:$T$245</definedName>
    <definedName name="Z_C1CCEDCD_F4AF_4C0D_913C_1EF93902D761__wvu_PrintArea" localSheetId="0">'ВСЕ'!$A$2:$L$245</definedName>
    <definedName name="Z_C1CCEDCD_F4AF_4C0D_913C_1EF93902D761__wvu_PrintTitles" localSheetId="0">'ВСЕ'!$6:$8</definedName>
  </definedNames>
  <calcPr fullCalcOnLoad="1"/>
</workbook>
</file>

<file path=xl/sharedStrings.xml><?xml version="1.0" encoding="utf-8"?>
<sst xmlns="http://schemas.openxmlformats.org/spreadsheetml/2006/main" count="759" uniqueCount="329">
  <si>
    <t>“Йӧзӧс велӧдӧм сӧвмӧдӧм” Коми Республикаса канму уджтас вынсьӧдӧм йылысь” Коми Республикаса Веськӧдлан котырлӧн 2012 во кӧч тӧлысь 28 лунся 411 №-а шуӧмӧ пыртан вежсьӧмъяс дорӧ
1 СОДТӦД</t>
  </si>
  <si>
    <t>“Йӧзӧс велӧдӧм сӧвмӧдӧм” Коми Республикаса канму уджтас дорӧ</t>
  </si>
  <si>
    <t>6 СОДТӦД</t>
  </si>
  <si>
    <t xml:space="preserve">Коми Республикаса республиканскӧй сьӧмкуд тшӧт весьтӧ «Йӧзӧс велӧдӧм сӧвмӧдӧм» Коми Республикаса канму уджтас збыльмӧдӧмсӧ ресурсъясӧн могмӧдӧм  </t>
  </si>
  <si>
    <t xml:space="preserve">Д/в 
№ </t>
  </si>
  <si>
    <t xml:space="preserve">Шӧр мероприятиелӧн код </t>
  </si>
  <si>
    <t xml:space="preserve">Канму уджтаслӧн, канму уджтасса уджтасувлӧн, федеральнӧй торъя мога уджтаслӧн (федеральнӧй торъя мога уджтасса уджтасувлӧн), ведомствоса торъя мога уджтаслӧн, шӧр мероприятиелӧн ним
</t>
  </si>
  <si>
    <t>Кывкутӧмӧн вӧчысь, ӧтвылысь вӧчысьяс, канму заказчик-координатор</t>
  </si>
  <si>
    <t>Сьӧмкуд классификациялӧн код</t>
  </si>
  <si>
    <t>Рӧскод
(сюрс шайт), вояс</t>
  </si>
  <si>
    <t>ГРБС</t>
  </si>
  <si>
    <t>Рз
Пр</t>
  </si>
  <si>
    <t>ЦСР</t>
  </si>
  <si>
    <t>ВР</t>
  </si>
  <si>
    <t>Ставыс</t>
  </si>
  <si>
    <t>1.</t>
  </si>
  <si>
    <t>Канму уджтас</t>
  </si>
  <si>
    <t xml:space="preserve">Йӧзӧс велӧдӧм сӧвмӧдӧм 
</t>
  </si>
  <si>
    <t>ставыс</t>
  </si>
  <si>
    <t xml:space="preserve">канму уджтас кывкутӧмӧн вӧчысь Коми Республикаса йӧзӧс велӧдан министерство </t>
  </si>
  <si>
    <t>Коми Республикаса архитектура, стрӧитчӧм да коммунальнӧй овмӧс министерство</t>
  </si>
  <si>
    <t>Коми Республикаса печать да юӧр сетан агентство</t>
  </si>
  <si>
    <t>Коми Республикаса йӧзлы отсӧг сетан агентство</t>
  </si>
  <si>
    <t>Коми Республикаса национальнӧй политика министерство</t>
  </si>
  <si>
    <t>Коми Республикаса йӧзлысь дзоньвидзалун видзан министерство</t>
  </si>
  <si>
    <t>Коми Республикаса культура министерство</t>
  </si>
  <si>
    <t>Коми Республикаса спорт да мортӧс ёнмӧдан агентство</t>
  </si>
  <si>
    <t>Коми Республикаса йӧзӧс велӧдан министерство</t>
  </si>
  <si>
    <t>2.</t>
  </si>
  <si>
    <t>1 уджтасув</t>
  </si>
  <si>
    <t>Коми Республикаын школаӧдз велӧдан система сӧвмӧдӧм</t>
  </si>
  <si>
    <t>3.</t>
  </si>
  <si>
    <t>Шӧр мероприятиеяс</t>
  </si>
  <si>
    <t>4.</t>
  </si>
  <si>
    <t>Мог</t>
  </si>
  <si>
    <t>Школаӧдз велӧдӧмлысь судзсянлун серти канму гарантияяс могмӧдӧм</t>
  </si>
  <si>
    <t>5.</t>
  </si>
  <si>
    <t>1.1</t>
  </si>
  <si>
    <t xml:space="preserve">Школаӧдз велӧдан учреждениеяс стрӧитӧм да выльмӧдӧм </t>
  </si>
  <si>
    <t>0701</t>
  </si>
  <si>
    <t>1020102</t>
  </si>
  <si>
    <t>4362700</t>
  </si>
  <si>
    <t>6.</t>
  </si>
  <si>
    <t>1.2</t>
  </si>
  <si>
    <t xml:space="preserve">Школаӧдз велӧдан формаяс да модельяс сӧвмӧдӧм
</t>
  </si>
  <si>
    <t>0709</t>
  </si>
  <si>
    <t>4360300</t>
  </si>
  <si>
    <t>7.</t>
  </si>
  <si>
    <t xml:space="preserve">Школаӧдз велӧдан услугаяслысь ногтуй кыпӧдан условиеяс лӧсьӧдӧм </t>
  </si>
  <si>
    <t>8.</t>
  </si>
  <si>
    <t>1.4</t>
  </si>
  <si>
    <t xml:space="preserve">Школаӧдз велӧдан общеобразовательнӧй уджтасъяс дорӧ федеральнӧй канму корӧмъяс пыртӧмсӧ могмӧдӧм </t>
  </si>
  <si>
    <t>875</t>
  </si>
  <si>
    <t>622</t>
  </si>
  <si>
    <t>9.</t>
  </si>
  <si>
    <t>1.6</t>
  </si>
  <si>
    <t xml:space="preserve">Школаӧдз велӧдан учреждениеясын этнокультурнӧй велӧдӧмсӧ сӧвмӧдӧм </t>
  </si>
  <si>
    <t>10.</t>
  </si>
  <si>
    <t>1.7</t>
  </si>
  <si>
    <t>Школаӧдз велӧдан учреждениеяслысь материально-техническӧй подув ёнмӧдӧм</t>
  </si>
  <si>
    <t>4366300</t>
  </si>
  <si>
    <t>521</t>
  </si>
  <si>
    <t>11.</t>
  </si>
  <si>
    <t xml:space="preserve">Школаӧдз велӧдан системалысь окталун кыпӧдан условиеяс лӧсьӧдӧм  </t>
  </si>
  <si>
    <t>12.</t>
  </si>
  <si>
    <t>1.8</t>
  </si>
  <si>
    <t>Школаӧдз велӧдан системалысь кадр ресурсъяс сӧвмӧдӧм</t>
  </si>
  <si>
    <t>13.</t>
  </si>
  <si>
    <t>1.9</t>
  </si>
  <si>
    <t xml:space="preserve">Школаӧдзса велӧдысьяслысь да школаӧдз велӧдан учреждениеяслысь инновация пыртан позянлунъяс сӧвмӧдӧм </t>
  </si>
  <si>
    <t>14.</t>
  </si>
  <si>
    <t>2 уджтасув</t>
  </si>
  <si>
    <t xml:space="preserve">Коми Республикаын ӧтувъя велӧдчан система сӧвмӧдӧм </t>
  </si>
  <si>
    <t>15.</t>
  </si>
  <si>
    <t>16.</t>
  </si>
  <si>
    <t>Ӧтувъя велӧдчӧмлысь судзсянлунсӧ могмӧдӧм</t>
  </si>
  <si>
    <t>17.</t>
  </si>
  <si>
    <t>2.1</t>
  </si>
  <si>
    <t xml:space="preserve">Коми Республикаын муниципальнӧй общеобразовательнӧй учреждениясӧн общеобразовательнӧй подув  уджтасъяс збыльмӧдӧм </t>
  </si>
  <si>
    <t>0702</t>
  </si>
  <si>
    <t>5204000</t>
  </si>
  <si>
    <t>530</t>
  </si>
  <si>
    <t>5200900</t>
  </si>
  <si>
    <t>18.</t>
  </si>
  <si>
    <t>2.2</t>
  </si>
  <si>
    <t>Общеобразовательнӧй учреждениеясӧн канму услугаяс збыльмӧдӧм (уджъяс вӧчӧм)</t>
  </si>
  <si>
    <t>4219900</t>
  </si>
  <si>
    <t>611</t>
  </si>
  <si>
    <t>4229900</t>
  </si>
  <si>
    <t>621</t>
  </si>
  <si>
    <t>612</t>
  </si>
  <si>
    <t>19.</t>
  </si>
  <si>
    <t>2.3</t>
  </si>
  <si>
    <t xml:space="preserve">Ӧтувъя велӧдчан учреждениеяс стрӧитӧм да выльмӧдӧм </t>
  </si>
  <si>
    <t>828</t>
  </si>
  <si>
    <t>523</t>
  </si>
  <si>
    <t>20.</t>
  </si>
  <si>
    <t xml:space="preserve">Ӧтувъя велӧдчӧмлысь ногтуй кыпӧдӧм </t>
  </si>
  <si>
    <t>21.</t>
  </si>
  <si>
    <t>2.4</t>
  </si>
  <si>
    <t xml:space="preserve">Коми Республикаын общеобразовательнӧй учреждениеяслысь материально-техническӧй подув ёнмӧдӧм  </t>
  </si>
  <si>
    <t>4360600</t>
  </si>
  <si>
    <t>4359900</t>
  </si>
  <si>
    <t>4362100</t>
  </si>
  <si>
    <t>242</t>
  </si>
  <si>
    <t>244</t>
  </si>
  <si>
    <t>4361400</t>
  </si>
  <si>
    <t>1009000</t>
  </si>
  <si>
    <t>22.</t>
  </si>
  <si>
    <t>2.6</t>
  </si>
  <si>
    <t xml:space="preserve">Ӧтувъя велӧдчӧмлысь ногтуй донъялан система сӧвмӧдӧм </t>
  </si>
  <si>
    <t>23.</t>
  </si>
  <si>
    <t>2.7</t>
  </si>
  <si>
    <t xml:space="preserve">Коми Республикаын улыс тшупӧда ӧтувъя велӧдчан уджтас збыльмӧдысь муниципальнӧй велӧдан учреждениеясын 1 - 4 классъясын велӧдчысьясӧс сёян-юанӧн вердӧм </t>
  </si>
  <si>
    <t>4365100</t>
  </si>
  <si>
    <t>540</t>
  </si>
  <si>
    <t>24.</t>
  </si>
  <si>
    <t xml:space="preserve">Республикалӧн социокультурнӧй пространствоын этнокультурнӧй велӧдӧмсӧ сӧвмӧдӧм </t>
  </si>
  <si>
    <t>25.</t>
  </si>
  <si>
    <t>2.9</t>
  </si>
  <si>
    <t>Коми Республикаын общеобразовательнӧй учреждениеяслысь материально-техническӧй подувсӧ ёнмӧдӧм, кутшӧмӧс веськӧдӧма этнокультурнӧй велӧдӧмсӧ сӧвмӧдӧм вылӧ</t>
  </si>
  <si>
    <t>4366200</t>
  </si>
  <si>
    <t>26.</t>
  </si>
  <si>
    <t>2.10</t>
  </si>
  <si>
    <t xml:space="preserve">Общеобразовательнӧй учреждениеясын этнокультурнӧй велӧдӧмсӧ сӧвмӧдӧм </t>
  </si>
  <si>
    <t>27.</t>
  </si>
  <si>
    <t xml:space="preserve">Ӧтувъя велӧдчан системалысь окталунсӧ кыпӧдан условиеяс лӧсьӧдӧм </t>
  </si>
  <si>
    <t>28.</t>
  </si>
  <si>
    <t>2.11</t>
  </si>
  <si>
    <t xml:space="preserve">Коми Республикаын канму (муниципальнӧй) общеобразовательнӧй учреждениеясын инновационнӧй уджлысь опытсӧ сӧвмӧдӧм </t>
  </si>
  <si>
    <t>29.</t>
  </si>
  <si>
    <t>2.12</t>
  </si>
  <si>
    <t>Ӧтувъя велӧдчан системалысь кадр ресурсъяс сӧвмӧдӧм</t>
  </si>
  <si>
    <t>4365500</t>
  </si>
  <si>
    <t>4368800</t>
  </si>
  <si>
    <t>5201100</t>
  </si>
  <si>
    <t>30.</t>
  </si>
  <si>
    <t>2.13</t>
  </si>
  <si>
    <t xml:space="preserve">«Коми Республикаса Веськӧдлан котырлӧн премияяс йылысь» Коми Республикаса Веськӧдлан котырлӧн 2007 во вӧльгым тӧлысь 26 лунся 277 №-а шуӧм олӧмӧ пӧртӧм </t>
  </si>
  <si>
    <t>8551100</t>
  </si>
  <si>
    <t>330</t>
  </si>
  <si>
    <t>31.</t>
  </si>
  <si>
    <t>3 уджтасув</t>
  </si>
  <si>
    <t>Коми Республикаын уджсикасӧ велӧдан система сӧвмӧдӧм</t>
  </si>
  <si>
    <t>32.</t>
  </si>
  <si>
    <t>33.</t>
  </si>
  <si>
    <t xml:space="preserve">Уджсикас босьтӧм вылӧ да уджсикас серти тӧдӧмлунъяс бурмӧдӧм вылӧ гражданалысь инӧдъяс могмӧдӧм </t>
  </si>
  <si>
    <t>34.</t>
  </si>
  <si>
    <t>3.1</t>
  </si>
  <si>
    <t xml:space="preserve">Уджсикасӧ велӧдан учреждениеясӧн канму услугаяс збыльмӧдӧм (уджъяс вӧчӧм) </t>
  </si>
  <si>
    <t>0703</t>
  </si>
  <si>
    <t>4360700</t>
  </si>
  <si>
    <t>4259900</t>
  </si>
  <si>
    <t>0704</t>
  </si>
  <si>
    <t>4279900</t>
  </si>
  <si>
    <t>0706</t>
  </si>
  <si>
    <t>4309900</t>
  </si>
  <si>
    <t>0705</t>
  </si>
  <si>
    <t>4289900</t>
  </si>
  <si>
    <t>4362500</t>
  </si>
  <si>
    <t>35.</t>
  </si>
  <si>
    <t>3.2</t>
  </si>
  <si>
    <t xml:space="preserve">Коми Республикаын уджсикасӧ велӧдан канму учреждениеяслысь материально-техническӧй подув ёнмӧдӧм  </t>
  </si>
  <si>
    <t>1020101</t>
  </si>
  <si>
    <t>36.</t>
  </si>
  <si>
    <t>3.3</t>
  </si>
  <si>
    <t xml:space="preserve">«Уджсикасö велöдан учреждениеясын велӧдчысьяслы, общеобразовательнöй учреждениеясын да челядьлы содтöд тöдöмлун сетан учреждениеясын велöдчысь (воспитывайтчысь) челядьлы торъя стипендияяс йылысь» Коми Республикаса Веськӧдлан котырлӧн 2007 во йирым тӧлысь 24 лунся 248 №-а шуӧм олӧмӧ пӧртӧм  </t>
  </si>
  <si>
    <t>8551000</t>
  </si>
  <si>
    <t>37.</t>
  </si>
  <si>
    <t>3.4</t>
  </si>
  <si>
    <t>38.</t>
  </si>
  <si>
    <t>3.5</t>
  </si>
  <si>
    <t xml:space="preserve">Уджсикасӧ велӧдан учреждениеясса абитуриентъяслы, студентъяслы, помалысьяслы восьса (публичнӧй) электроннӧй даннӧйяслысь базаяс лӧсьӧдӧм </t>
  </si>
  <si>
    <t>39.</t>
  </si>
  <si>
    <t>3.6</t>
  </si>
  <si>
    <t xml:space="preserve">Уджсикасӧ велӧдан учреждениеясын прӧст кад коллялан удж лӧсьӧдӧм </t>
  </si>
  <si>
    <t>40.</t>
  </si>
  <si>
    <t xml:space="preserve">Республикаса удж рыноклӧн коланлун вылӧ веськӧдӧм уджсикасӧ велӧдан уджтасъяс збыльмӧдан ногтуйсӧ кыпӧдӧм </t>
  </si>
  <si>
    <t>41.</t>
  </si>
  <si>
    <t>3.7</t>
  </si>
  <si>
    <t xml:space="preserve">Выпускникъясӧс дасьтан да уджӧ индан система бурмӧдӧм </t>
  </si>
  <si>
    <t xml:space="preserve">Коми Республикаса культура министерство </t>
  </si>
  <si>
    <t>856</t>
  </si>
  <si>
    <t>42.</t>
  </si>
  <si>
    <t>3.8</t>
  </si>
  <si>
    <t xml:space="preserve">Уджсикасӧ велӧдан системалысь кадр ресурсъяс сӧвмӧдӧм </t>
  </si>
  <si>
    <t>43.</t>
  </si>
  <si>
    <t xml:space="preserve">Коми Республикаса уджсикасӧ велӧдан ресурсӧн веськӧдлӧмлысь окталун кыпӧдӧм </t>
  </si>
  <si>
    <t>44.</t>
  </si>
  <si>
    <t>3.10</t>
  </si>
  <si>
    <t xml:space="preserve">Уджсикасӧ велӧдан учреждениеяслысь ресурснӧй шӧринъяс отрасль серти лӧсьӧдӧм  </t>
  </si>
  <si>
    <t>45.</t>
  </si>
  <si>
    <t>3.11</t>
  </si>
  <si>
    <t xml:space="preserve">Коми Республикаса уджсикасӧ велӧдан системалысь инновацияын позянлунъяс сӧвмӧдӧм </t>
  </si>
  <si>
    <t>46.</t>
  </si>
  <si>
    <t>3.13</t>
  </si>
  <si>
    <t xml:space="preserve">Уджсикасӧ туйдан удж сӧвмӧдӧм </t>
  </si>
  <si>
    <t>47.</t>
  </si>
  <si>
    <t>3.16</t>
  </si>
  <si>
    <t xml:space="preserve">Уджсикасӧ велӧдан учреждениеяскӧд йитӧдын предприятиеясӧн, организацияясӧн «кураторство» институт лӧсьӧдӧм </t>
  </si>
  <si>
    <t>48.</t>
  </si>
  <si>
    <t xml:space="preserve"> 4 уджтасув</t>
  </si>
  <si>
    <t>Коми Республикаса челядь да том йӧз</t>
  </si>
  <si>
    <t xml:space="preserve">уджтасув кывкутӧмӧн вӧчысь Коми Республикаса йӧзӧс велӧдан министерство </t>
  </si>
  <si>
    <t>49.</t>
  </si>
  <si>
    <t>50.</t>
  </si>
  <si>
    <t xml:space="preserve">Йӧзкотырын овны велалӧм вылӧ тӧдчысь велӧдчан да сӧвмӧдан юкӧнын канму услугаяс босьтӧм вылӧ ӧткодь инӧдъяс челядьлы сетӧм </t>
  </si>
  <si>
    <t>51.</t>
  </si>
  <si>
    <t>4.1</t>
  </si>
  <si>
    <t xml:space="preserve">Интернат сяма учреждениеясӧн, торъя (коррекционнӧй) общеобразовательнӧй школаясӧн, челядьлы содтӧд тӧдӧмлун сетан учреждениеясӧн канму услугаяс сетӧм (уджъяс вӧчӧм) </t>
  </si>
  <si>
    <t>4239900</t>
  </si>
  <si>
    <t>4249900</t>
  </si>
  <si>
    <t>4339900</t>
  </si>
  <si>
    <t>52.</t>
  </si>
  <si>
    <t>4.2</t>
  </si>
  <si>
    <t xml:space="preserve">Войвывса кореннӧй да этша лыда войтыръяслӧн семьяясысь челядьлы отсӧг сетӧм </t>
  </si>
  <si>
    <t>4360900</t>
  </si>
  <si>
    <t>53.</t>
  </si>
  <si>
    <t>4.3</t>
  </si>
  <si>
    <t xml:space="preserve">Коми Республика мутас сайын торъя велӧдан-быдтан да велӧдан учреждениеясын челядьӧс велӧдӧм да видзӧм котыртӧм </t>
  </si>
  <si>
    <t>54.</t>
  </si>
  <si>
    <t xml:space="preserve">Челядьӧс да том йӧзӧс йӧзкотырын овны велӧдан уджын участвуйтысь учреждениеяслысь, специалистъяслысь, водзмӧстчысь том йӧзлысь да ӧтйӧза секторлысь бур удж могмӧдӧм  </t>
  </si>
  <si>
    <t>55.</t>
  </si>
  <si>
    <t>4.7</t>
  </si>
  <si>
    <t xml:space="preserve">Коми Республикаса велӧдан учреждениеясын материально-техническӧй база ёнмӧдӧм да колана нога велӧдан да сӧвмӧдан условиеяс лӧсьӧдӧм </t>
  </si>
  <si>
    <t>4366000</t>
  </si>
  <si>
    <t>56.</t>
  </si>
  <si>
    <t>4.8</t>
  </si>
  <si>
    <t xml:space="preserve">Велӧдчысьяслӧн, быдтасъяслӧн йӧз котырын овны бура велалӧмлы отсӧг сетӧм </t>
  </si>
  <si>
    <t xml:space="preserve">Коми Республикаса йӧзӧс велӧдан министерство </t>
  </si>
  <si>
    <t>57.</t>
  </si>
  <si>
    <t>4.10</t>
  </si>
  <si>
    <t xml:space="preserve">Том йӧз пӧвстын дзоньвидза оласног паськӧдӧм </t>
  </si>
  <si>
    <t>831</t>
  </si>
  <si>
    <t>1201</t>
  </si>
  <si>
    <t>1202</t>
  </si>
  <si>
    <t>1204</t>
  </si>
  <si>
    <t xml:space="preserve">Коми Республикаса йӧзлысь дзоньвидзалун видзан министерство </t>
  </si>
  <si>
    <t>854</t>
  </si>
  <si>
    <t>0902</t>
  </si>
  <si>
    <t>58.</t>
  </si>
  <si>
    <t>4.11</t>
  </si>
  <si>
    <t xml:space="preserve">Том йӧзӧс ӧтйӧза олӧмын водзмӧстчыны ышӧдӧм да том йӧз костын омӧль петкӧдчӧмъясысь видзчысьӧм, асшӧр уджӧ том йӧзӧс кыскӧм </t>
  </si>
  <si>
    <t>1002</t>
  </si>
  <si>
    <t>0113</t>
  </si>
  <si>
    <t>0100200</t>
  </si>
  <si>
    <t>59.</t>
  </si>
  <si>
    <t>4.12</t>
  </si>
  <si>
    <t>Йӧзкотырын овны велӧдан уджын участвуйтысь учреждениеяслысь кадр ресурсъяс сӧвмӧдӧм</t>
  </si>
  <si>
    <t>60.</t>
  </si>
  <si>
    <t xml:space="preserve">Коми Республикаса быд сикаса да вида учреждениеясын да ӧтйӧза секторын йӧзкотырын овны велӧдан уджлысь окталун кыпӧдӧм </t>
  </si>
  <si>
    <t>61.</t>
  </si>
  <si>
    <t>4.13</t>
  </si>
  <si>
    <t xml:space="preserve">«Бать-мамтöм, бать-мам дöзьöртöг кольöм енбиа челядьлы да бать-мамтöм да бать-мам дöзьöртöг кольöм челядь лыдысь йöзлы мынтысьöмъяс йылысь» Коми Республикаса Веськӧдлан котырлöн 2003 во моз тӧлысь 15 лунся 179 №-а шуöм олӧмӧ пӧртӧм </t>
  </si>
  <si>
    <t>8550100</t>
  </si>
  <si>
    <t>62.</t>
  </si>
  <si>
    <t>4.14</t>
  </si>
  <si>
    <t>63.</t>
  </si>
  <si>
    <t>4.15</t>
  </si>
  <si>
    <t>64.</t>
  </si>
  <si>
    <t>5 уджтас</t>
  </si>
  <si>
    <t xml:space="preserve">Коми Республикаын олысь челядьлысь дзоньвидзалун бурмӧдӧм да налӧн шойччӧм </t>
  </si>
  <si>
    <t>65.</t>
  </si>
  <si>
    <t>66.</t>
  </si>
  <si>
    <t xml:space="preserve">Челядьлысь дзоньвидзалун бурмӧдӧм да шойччӧм котыртӧм </t>
  </si>
  <si>
    <t>67.</t>
  </si>
  <si>
    <t>5.1</t>
  </si>
  <si>
    <t xml:space="preserve">Коми Республикаса челядьлысь дзоньвидзалун бурмӧдӧм да налӧн шойччӧм </t>
  </si>
  <si>
    <t>5019900</t>
  </si>
  <si>
    <t>5089900</t>
  </si>
  <si>
    <t>0905</t>
  </si>
  <si>
    <t>4739900</t>
  </si>
  <si>
    <t>4749900</t>
  </si>
  <si>
    <t>0909</t>
  </si>
  <si>
    <t>4850200</t>
  </si>
  <si>
    <t>4859700</t>
  </si>
  <si>
    <t>0707</t>
  </si>
  <si>
    <t>4320200</t>
  </si>
  <si>
    <t>68.</t>
  </si>
  <si>
    <t>5.2</t>
  </si>
  <si>
    <t xml:space="preserve">Челядьлысь дзоньвидзалун бурмӧдан удж кузя мероприятиеяс збыльмӧдӧмлы канмусянь отсӧг сетӧм </t>
  </si>
  <si>
    <t>69.</t>
  </si>
  <si>
    <t xml:space="preserve">Челядьлысь дзоньвидзалун бурмӧдан республиканскӧй стационарнӧй учреждениеяслысь удж могмӧдӧм </t>
  </si>
  <si>
    <t>70.</t>
  </si>
  <si>
    <t>5.3</t>
  </si>
  <si>
    <t>Челядьлысь дзоньвидзалун бурмӧдан учреждениеяслысь материально-техническӧй подув ёнмӧдӧм</t>
  </si>
  <si>
    <t>71.</t>
  </si>
  <si>
    <t>6 уджтас</t>
  </si>
  <si>
    <t xml:space="preserve">Коми Республикаын Россия Федерацияса гражданаӧс военнӧй служба кежлӧ призывӧдз дасьтӧм </t>
  </si>
  <si>
    <t>72.</t>
  </si>
  <si>
    <t>73.</t>
  </si>
  <si>
    <t>Призывводзвывса да призыв арлыда том йӧзлысь военнӧй служба дорӧ мотивация кыпӧдӧм</t>
  </si>
  <si>
    <t>74.</t>
  </si>
  <si>
    <t>6.2</t>
  </si>
  <si>
    <t xml:space="preserve">Призывводзвывса арлыда том йӧзӧс военно-патриотическӧй боксянь сӧвмӧдӧм </t>
  </si>
  <si>
    <t>75.</t>
  </si>
  <si>
    <t xml:space="preserve">Дорйысян юкӧнын Россия Федерацияса гражданаӧн медводдза тӧдӧмлунъяс босьтӧм да Коми Республикаса велӧдан учреждениеясын военнӧй службалӧн подувъяс серти дасьтысьӧм </t>
  </si>
  <si>
    <t>76.</t>
  </si>
  <si>
    <t>6.5</t>
  </si>
  <si>
    <t xml:space="preserve">Коми Республикаын том йӧзӧс призывӧдз дасьтысь велӧдан учреждениеяслысь материально-техническӧй подув ёнмӧдӧм </t>
  </si>
  <si>
    <t>77.</t>
  </si>
  <si>
    <t xml:space="preserve">Россия Федерацияса гражданалысь, кодъяслы колӧ прӧйдитны военнӧй служба, физическӧй дасьлун да медицинскӧя найӧс видлалан ногтуй кыпӧдӧм  </t>
  </si>
  <si>
    <t>78.</t>
  </si>
  <si>
    <t>6.6</t>
  </si>
  <si>
    <t xml:space="preserve">Призывводзвывса арлыда том йӧзлы уна йӧза спорт мероприятиеяс нуӧдӧм </t>
  </si>
  <si>
    <t>79.</t>
  </si>
  <si>
    <t xml:space="preserve"> 7 уджтас</t>
  </si>
  <si>
    <t xml:space="preserve">«Йӧзӧс велӧдӧм сӧвмӧдӧм» Коми Республикаса канму уджтас збыльмӧдан условиеяс лӧсьӧдӧм  </t>
  </si>
  <si>
    <t>80.</t>
  </si>
  <si>
    <t>81.</t>
  </si>
  <si>
    <t>«Йӧзӧс велӧдӧм сӧвмӧдӧм» Коми Республикаса канму уджтас дінму тшупӧдын збыльмӧдӧмӧн веськӧдлӧм</t>
  </si>
  <si>
    <t>82.</t>
  </si>
  <si>
    <t>7.1</t>
  </si>
  <si>
    <t>Коми Республикаса канму власьт органъяслӧн, Коми Республикаса Юралысьӧн либӧ Коми Республикаса Веськӧдлан котырӧн лӧсьӧдӧм Коми Республикаса канму органъяслӧн урчитӧм уджъяс юкӧнын юрнуӧдӧм да веськӧдлӧм</t>
  </si>
  <si>
    <t>0020400</t>
  </si>
  <si>
    <t>121</t>
  </si>
  <si>
    <t>122</t>
  </si>
  <si>
    <t>4520400</t>
  </si>
  <si>
    <t>83.</t>
  </si>
  <si>
    <t>7.2</t>
  </si>
  <si>
    <t xml:space="preserve">Велӧдчӧмлӧн ногтуй бӧрся контроль серти, велӧдан учреждениеяслы лицензия сетӧм да канмусянь аккредитация нуӧдӧм серти, велӧдчан юкӧнын оланпастэчасӧ кутчысьӧм бӧрся дӧзьӧр да контроль серти Россия Федерациялысь торъя уджмогъяс збыльмӧдӧм </t>
  </si>
  <si>
    <t>0015200</t>
  </si>
  <si>
    <t>".</t>
  </si>
  <si>
    <t xml:space="preserve"> 1 уджтасув</t>
  </si>
  <si>
    <t>4 уджтасув</t>
  </si>
  <si>
    <t>5 уджтасув</t>
  </si>
  <si>
    <t>6 уджтасув</t>
  </si>
  <si>
    <t>7 уджтасув</t>
  </si>
  <si>
    <t>СТАВЫС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</si>
</sst>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_-* #,##0.00_р_._-;\-* #,##0.00_р_._-;_-* \-??_р_._-;_-@_-"/>
    <numFmt numFmtId="166" formatCode="@"/>
    <numFmt numFmtId="167" formatCode="#,##0.0"/>
    <numFmt numFmtId="168" formatCode="#,##0.000000"/>
    <numFmt numFmtId="169" formatCode="#,##0"/>
    <numFmt numFmtId="170" formatCode="0.000"/>
    <numFmt numFmtId="171" formatCode="0.00"/>
  </numFmts>
  <fonts count="13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b/>
      <sz val="12"/>
      <color indexed="10"/>
      <name val="Times New Roman"/>
      <family val="1"/>
    </font>
    <font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5" fontId="0" fillId="0" borderId="0" applyFill="0" applyBorder="0" applyAlignment="0" applyProtection="0"/>
  </cellStyleXfs>
  <cellXfs count="99">
    <xf numFmtId="164" fontId="0" fillId="0" borderId="0" xfId="0" applyAlignment="1">
      <alignment/>
    </xf>
    <xf numFmtId="164" fontId="2" fillId="0" borderId="0" xfId="0" applyFont="1" applyFill="1" applyAlignment="1">
      <alignment horizontal="center" vertical="top"/>
    </xf>
    <xf numFmtId="166" fontId="2" fillId="0" borderId="0" xfId="0" applyNumberFormat="1" applyFont="1" applyFill="1" applyAlignment="1">
      <alignment horizontal="center" vertical="top" wrapText="1"/>
    </xf>
    <xf numFmtId="164" fontId="2" fillId="0" borderId="0" xfId="0" applyFont="1" applyFill="1" applyAlignment="1">
      <alignment horizontal="justify" wrapText="1"/>
    </xf>
    <xf numFmtId="164" fontId="2" fillId="0" borderId="0" xfId="0" applyFont="1" applyFill="1" applyAlignment="1">
      <alignment/>
    </xf>
    <xf numFmtId="166" fontId="2" fillId="0" borderId="0" xfId="0" applyNumberFormat="1" applyFont="1" applyFill="1" applyAlignment="1">
      <alignment horizontal="center" vertical="top"/>
    </xf>
    <xf numFmtId="167" fontId="2" fillId="0" borderId="0" xfId="0" applyNumberFormat="1" applyFont="1" applyFill="1" applyAlignment="1">
      <alignment horizontal="right" vertical="top"/>
    </xf>
    <xf numFmtId="164" fontId="2" fillId="0" borderId="0" xfId="0" applyFont="1" applyFill="1" applyBorder="1" applyAlignment="1">
      <alignment horizontal="center" vertical="top"/>
    </xf>
    <xf numFmtId="164" fontId="3" fillId="0" borderId="0" xfId="0" applyFont="1" applyFill="1" applyAlignment="1">
      <alignment/>
    </xf>
    <xf numFmtId="164" fontId="4" fillId="0" borderId="0" xfId="0" applyFont="1" applyFill="1" applyBorder="1" applyAlignment="1">
      <alignment horizontal="right" vertical="top" wrapText="1"/>
    </xf>
    <xf numFmtId="164" fontId="2" fillId="0" borderId="0" xfId="0" applyFont="1" applyFill="1" applyAlignment="1">
      <alignment horizontal="justify" vertical="top" wrapText="1"/>
    </xf>
    <xf numFmtId="164" fontId="2" fillId="0" borderId="0" xfId="0" applyFont="1" applyFill="1" applyAlignment="1">
      <alignment vertical="top" wrapText="1"/>
    </xf>
    <xf numFmtId="164" fontId="2" fillId="0" borderId="0" xfId="0" applyFont="1" applyFill="1" applyAlignment="1">
      <alignment horizontal="center" vertical="top" wrapText="1"/>
    </xf>
    <xf numFmtId="167" fontId="5" fillId="0" borderId="0" xfId="0" applyNumberFormat="1" applyFont="1" applyFill="1" applyBorder="1" applyAlignment="1">
      <alignment horizontal="right" vertical="center" wrapText="1"/>
    </xf>
    <xf numFmtId="164" fontId="4" fillId="0" borderId="0" xfId="0" applyFont="1" applyFill="1" applyAlignment="1">
      <alignment horizontal="center" wrapText="1"/>
    </xf>
    <xf numFmtId="164" fontId="4" fillId="0" borderId="0" xfId="0" applyFont="1" applyFill="1" applyBorder="1" applyAlignment="1">
      <alignment horizontal="right" vertical="top" wrapText="1"/>
    </xf>
    <xf numFmtId="164" fontId="6" fillId="0" borderId="0" xfId="0" applyFont="1" applyFill="1" applyBorder="1" applyAlignment="1">
      <alignment horizontal="center" vertical="top" wrapText="1"/>
    </xf>
    <xf numFmtId="167" fontId="2" fillId="0" borderId="0" xfId="0" applyNumberFormat="1" applyFont="1" applyFill="1" applyAlignment="1">
      <alignment horizontal="right" vertical="top" wrapText="1"/>
    </xf>
    <xf numFmtId="164" fontId="2" fillId="0" borderId="1" xfId="0" applyNumberFormat="1" applyFont="1" applyFill="1" applyBorder="1" applyAlignment="1">
      <alignment horizontal="center" vertical="top" wrapText="1"/>
    </xf>
    <xf numFmtId="166" fontId="2" fillId="0" borderId="1" xfId="0" applyNumberFormat="1" applyFont="1" applyFill="1" applyBorder="1" applyAlignment="1">
      <alignment horizontal="center" vertical="top" wrapText="1"/>
    </xf>
    <xf numFmtId="164" fontId="2" fillId="0" borderId="0" xfId="0" applyNumberFormat="1" applyFont="1" applyFill="1" applyBorder="1" applyAlignment="1">
      <alignment horizontal="center" vertical="top"/>
    </xf>
    <xf numFmtId="164" fontId="7" fillId="0" borderId="0" xfId="0" applyNumberFormat="1" applyFont="1" applyFill="1" applyAlignment="1">
      <alignment/>
    </xf>
    <xf numFmtId="164" fontId="2" fillId="0" borderId="1" xfId="0" applyNumberFormat="1" applyFont="1" applyFill="1" applyBorder="1" applyAlignment="1">
      <alignment horizontal="justify" vertical="top" wrapText="1"/>
    </xf>
    <xf numFmtId="166" fontId="2" fillId="0" borderId="0" xfId="0" applyNumberFormat="1" applyFont="1" applyFill="1" applyBorder="1" applyAlignment="1">
      <alignment horizontal="center" vertical="top" wrapText="1"/>
    </xf>
    <xf numFmtId="164" fontId="7" fillId="0" borderId="0" xfId="0" applyNumberFormat="1" applyFont="1" applyFill="1" applyAlignment="1">
      <alignment horizontal="center"/>
    </xf>
    <xf numFmtId="164" fontId="2" fillId="0" borderId="1" xfId="0" applyFont="1" applyFill="1" applyBorder="1" applyAlignment="1">
      <alignment horizontal="center" vertical="top"/>
    </xf>
    <xf numFmtId="166" fontId="6" fillId="0" borderId="1" xfId="0" applyNumberFormat="1" applyFont="1" applyFill="1" applyBorder="1" applyAlignment="1">
      <alignment horizontal="center" vertical="top" wrapText="1"/>
    </xf>
    <xf numFmtId="164" fontId="6" fillId="0" borderId="1" xfId="0" applyFont="1" applyFill="1" applyBorder="1" applyAlignment="1">
      <alignment horizontal="justify" vertical="top" wrapText="1"/>
    </xf>
    <xf numFmtId="164" fontId="6" fillId="0" borderId="1" xfId="0" applyFont="1" applyFill="1" applyBorder="1" applyAlignment="1">
      <alignment vertical="top" wrapText="1"/>
    </xf>
    <xf numFmtId="164" fontId="2" fillId="0" borderId="1" xfId="0" applyFont="1" applyFill="1" applyBorder="1" applyAlignment="1">
      <alignment horizontal="center" vertical="top" wrapText="1"/>
    </xf>
    <xf numFmtId="167" fontId="6" fillId="0" borderId="1" xfId="0" applyNumberFormat="1" applyFont="1" applyFill="1" applyBorder="1" applyAlignment="1">
      <alignment horizontal="right" vertical="top" wrapText="1"/>
    </xf>
    <xf numFmtId="167" fontId="6" fillId="0" borderId="1" xfId="15" applyNumberFormat="1" applyFont="1" applyFill="1" applyBorder="1" applyAlignment="1" applyProtection="1">
      <alignment horizontal="right" vertical="top" wrapText="1"/>
      <protection/>
    </xf>
    <xf numFmtId="164" fontId="2" fillId="0" borderId="0" xfId="0" applyFont="1" applyFill="1" applyBorder="1" applyAlignment="1">
      <alignment vertical="top"/>
    </xf>
    <xf numFmtId="167" fontId="2" fillId="0" borderId="0" xfId="0" applyNumberFormat="1" applyFont="1" applyFill="1" applyBorder="1" applyAlignment="1">
      <alignment vertical="top"/>
    </xf>
    <xf numFmtId="167" fontId="8" fillId="0" borderId="0" xfId="0" applyNumberFormat="1" applyFont="1" applyFill="1" applyAlignment="1">
      <alignment/>
    </xf>
    <xf numFmtId="164" fontId="8" fillId="0" borderId="0" xfId="0" applyFont="1" applyFill="1" applyAlignment="1">
      <alignment/>
    </xf>
    <xf numFmtId="167" fontId="2" fillId="0" borderId="1" xfId="0" applyNumberFormat="1" applyFont="1" applyFill="1" applyBorder="1" applyAlignment="1">
      <alignment horizontal="right" vertical="top" wrapText="1"/>
    </xf>
    <xf numFmtId="164" fontId="7" fillId="0" borderId="0" xfId="0" applyFont="1" applyFill="1" applyAlignment="1">
      <alignment/>
    </xf>
    <xf numFmtId="164" fontId="2" fillId="0" borderId="1" xfId="0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vertical="top" wrapText="1"/>
    </xf>
    <xf numFmtId="168" fontId="6" fillId="0" borderId="0" xfId="0" applyNumberFormat="1" applyFont="1" applyFill="1" applyBorder="1" applyAlignment="1">
      <alignment horizontal="right" vertical="top" wrapText="1"/>
    </xf>
    <xf numFmtId="164" fontId="7" fillId="0" borderId="0" xfId="0" applyFont="1" applyFill="1" applyBorder="1" applyAlignment="1">
      <alignment/>
    </xf>
    <xf numFmtId="167" fontId="7" fillId="0" borderId="0" xfId="0" applyNumberFormat="1" applyFont="1" applyFill="1" applyAlignment="1">
      <alignment/>
    </xf>
    <xf numFmtId="169" fontId="2" fillId="0" borderId="1" xfId="0" applyNumberFormat="1" applyFont="1" applyFill="1" applyBorder="1" applyAlignment="1">
      <alignment horizontal="center" vertical="top" wrapText="1"/>
    </xf>
    <xf numFmtId="166" fontId="6" fillId="0" borderId="1" xfId="0" applyNumberFormat="1" applyFont="1" applyFill="1" applyBorder="1" applyAlignment="1">
      <alignment horizontal="center" vertical="top"/>
    </xf>
    <xf numFmtId="164" fontId="9" fillId="0" borderId="1" xfId="0" applyFont="1" applyFill="1" applyBorder="1" applyAlignment="1">
      <alignment horizontal="justify" vertical="top" wrapText="1"/>
    </xf>
    <xf numFmtId="166" fontId="6" fillId="0" borderId="1" xfId="0" applyNumberFormat="1" applyFont="1" applyFill="1" applyBorder="1" applyAlignment="1">
      <alignment vertical="top" wrapText="1"/>
    </xf>
    <xf numFmtId="164" fontId="6" fillId="0" borderId="1" xfId="0" applyFont="1" applyFill="1" applyBorder="1" applyAlignment="1">
      <alignment horizontal="center" vertical="top" wrapText="1"/>
    </xf>
    <xf numFmtId="169" fontId="6" fillId="0" borderId="1" xfId="0" applyNumberFormat="1" applyFont="1" applyFill="1" applyBorder="1" applyAlignment="1">
      <alignment horizontal="center" vertical="top" wrapText="1"/>
    </xf>
    <xf numFmtId="164" fontId="2" fillId="0" borderId="1" xfId="0" applyFont="1" applyFill="1" applyBorder="1" applyAlignment="1">
      <alignment horizontal="justify" vertical="top" wrapText="1"/>
    </xf>
    <xf numFmtId="164" fontId="2" fillId="0" borderId="1" xfId="0" applyFont="1" applyFill="1" applyBorder="1" applyAlignment="1">
      <alignment horizontal="left" vertical="top" wrapText="1"/>
    </xf>
    <xf numFmtId="166" fontId="2" fillId="0" borderId="1" xfId="0" applyNumberFormat="1" applyFont="1" applyFill="1" applyBorder="1" applyAlignment="1">
      <alignment horizontal="center" vertical="top"/>
    </xf>
    <xf numFmtId="167" fontId="3" fillId="0" borderId="0" xfId="0" applyNumberFormat="1" applyFont="1" applyFill="1" applyAlignment="1">
      <alignment/>
    </xf>
    <xf numFmtId="164" fontId="10" fillId="0" borderId="0" xfId="0" applyFont="1" applyFill="1" applyAlignment="1">
      <alignment/>
    </xf>
    <xf numFmtId="164" fontId="3" fillId="0" borderId="1" xfId="0" applyFont="1" applyFill="1" applyBorder="1" applyAlignment="1">
      <alignment/>
    </xf>
    <xf numFmtId="164" fontId="3" fillId="0" borderId="1" xfId="0" applyFont="1" applyFill="1" applyBorder="1" applyAlignment="1">
      <alignment horizontal="center"/>
    </xf>
    <xf numFmtId="166" fontId="2" fillId="0" borderId="2" xfId="0" applyNumberFormat="1" applyFont="1" applyFill="1" applyBorder="1" applyAlignment="1">
      <alignment horizontal="center" vertical="top" wrapText="1"/>
    </xf>
    <xf numFmtId="164" fontId="2" fillId="0" borderId="2" xfId="0" applyNumberFormat="1" applyFont="1" applyFill="1" applyBorder="1" applyAlignment="1">
      <alignment horizontal="justify" vertical="top" wrapText="1"/>
    </xf>
    <xf numFmtId="170" fontId="2" fillId="0" borderId="0" xfId="0" applyNumberFormat="1" applyFont="1" applyFill="1" applyBorder="1" applyAlignment="1">
      <alignment vertical="top"/>
    </xf>
    <xf numFmtId="170" fontId="3" fillId="0" borderId="0" xfId="0" applyNumberFormat="1" applyFont="1" applyFill="1" applyAlignment="1">
      <alignment/>
    </xf>
    <xf numFmtId="167" fontId="2" fillId="0" borderId="1" xfId="0" applyNumberFormat="1" applyFont="1" applyFill="1" applyBorder="1" applyAlignment="1">
      <alignment horizontal="justify" vertical="top" wrapText="1"/>
    </xf>
    <xf numFmtId="166" fontId="6" fillId="0" borderId="2" xfId="0" applyNumberFormat="1" applyFont="1" applyFill="1" applyBorder="1" applyAlignment="1">
      <alignment horizontal="center" vertical="top"/>
    </xf>
    <xf numFmtId="164" fontId="2" fillId="0" borderId="2" xfId="0" applyFont="1" applyFill="1" applyBorder="1" applyAlignment="1">
      <alignment horizontal="left" vertical="top" wrapText="1"/>
    </xf>
    <xf numFmtId="166" fontId="2" fillId="0" borderId="3" xfId="0" applyNumberFormat="1" applyFont="1" applyFill="1" applyBorder="1" applyAlignment="1">
      <alignment horizontal="center" vertical="top" wrapText="1"/>
    </xf>
    <xf numFmtId="164" fontId="2" fillId="0" borderId="3" xfId="0" applyFont="1" applyFill="1" applyBorder="1" applyAlignment="1">
      <alignment horizontal="left" vertical="top" wrapText="1"/>
    </xf>
    <xf numFmtId="164" fontId="11" fillId="0" borderId="0" xfId="0" applyFont="1" applyFill="1" applyBorder="1" applyAlignment="1">
      <alignment vertical="top"/>
    </xf>
    <xf numFmtId="164" fontId="2" fillId="0" borderId="2" xfId="0" applyFont="1" applyFill="1" applyBorder="1" applyAlignment="1">
      <alignment vertical="top" wrapText="1"/>
    </xf>
    <xf numFmtId="167" fontId="2" fillId="0" borderId="1" xfId="0" applyNumberFormat="1" applyFont="1" applyFill="1" applyBorder="1" applyAlignment="1">
      <alignment horizontal="right" vertical="top"/>
    </xf>
    <xf numFmtId="171" fontId="8" fillId="0" borderId="0" xfId="0" applyNumberFormat="1" applyFont="1" applyFill="1" applyAlignment="1">
      <alignment/>
    </xf>
    <xf numFmtId="164" fontId="2" fillId="0" borderId="3" xfId="0" applyFont="1" applyFill="1" applyBorder="1" applyAlignment="1">
      <alignment horizontal="center" vertical="top"/>
    </xf>
    <xf numFmtId="164" fontId="2" fillId="0" borderId="3" xfId="0" applyFont="1" applyFill="1" applyBorder="1" applyAlignment="1">
      <alignment horizontal="justify" vertical="top" wrapText="1"/>
    </xf>
    <xf numFmtId="164" fontId="2" fillId="0" borderId="3" xfId="0" applyFont="1" applyFill="1" applyBorder="1" applyAlignment="1">
      <alignment vertical="top" wrapText="1"/>
    </xf>
    <xf numFmtId="164" fontId="12" fillId="0" borderId="1" xfId="0" applyFont="1" applyFill="1" applyBorder="1" applyAlignment="1">
      <alignment vertical="top" wrapText="1"/>
    </xf>
    <xf numFmtId="164" fontId="12" fillId="0" borderId="1" xfId="0" applyFont="1" applyFill="1" applyBorder="1" applyAlignment="1">
      <alignment horizontal="justify" vertical="top" wrapText="1"/>
    </xf>
    <xf numFmtId="164" fontId="7" fillId="0" borderId="1" xfId="0" applyFont="1" applyFill="1" applyBorder="1" applyAlignment="1">
      <alignment/>
    </xf>
    <xf numFmtId="164" fontId="7" fillId="0" borderId="1" xfId="0" applyFont="1" applyFill="1" applyBorder="1" applyAlignment="1">
      <alignment horizontal="center"/>
    </xf>
    <xf numFmtId="164" fontId="9" fillId="0" borderId="1" xfId="0" applyFont="1" applyFill="1" applyBorder="1" applyAlignment="1">
      <alignment vertical="top" wrapText="1"/>
    </xf>
    <xf numFmtId="164" fontId="12" fillId="0" borderId="2" xfId="0" applyFont="1" applyFill="1" applyBorder="1" applyAlignment="1">
      <alignment horizontal="justify" vertical="top" wrapText="1"/>
    </xf>
    <xf numFmtId="164" fontId="12" fillId="0" borderId="2" xfId="0" applyFont="1" applyFill="1" applyBorder="1" applyAlignment="1">
      <alignment horizontal="left" vertical="top" wrapText="1"/>
    </xf>
    <xf numFmtId="164" fontId="9" fillId="0" borderId="2" xfId="0" applyFont="1" applyFill="1" applyBorder="1" applyAlignment="1">
      <alignment horizontal="justify" vertical="top" wrapText="1"/>
    </xf>
    <xf numFmtId="166" fontId="2" fillId="0" borderId="4" xfId="0" applyNumberFormat="1" applyFont="1" applyFill="1" applyBorder="1" applyAlignment="1">
      <alignment vertical="top" wrapText="1"/>
    </xf>
    <xf numFmtId="166" fontId="2" fillId="0" borderId="2" xfId="0" applyNumberFormat="1" applyFont="1" applyFill="1" applyBorder="1" applyAlignment="1">
      <alignment vertical="top" wrapText="1"/>
    </xf>
    <xf numFmtId="164" fontId="2" fillId="0" borderId="5" xfId="0" applyFont="1" applyFill="1" applyBorder="1" applyAlignment="1">
      <alignment horizontal="center" vertical="top" wrapText="1"/>
    </xf>
    <xf numFmtId="166" fontId="2" fillId="0" borderId="3" xfId="0" applyNumberFormat="1" applyFont="1" applyFill="1" applyBorder="1" applyAlignment="1">
      <alignment vertical="top" wrapText="1"/>
    </xf>
    <xf numFmtId="166" fontId="2" fillId="0" borderId="1" xfId="0" applyNumberFormat="1" applyFont="1" applyFill="1" applyBorder="1" applyAlignment="1">
      <alignment horizontal="left" vertical="top" wrapText="1"/>
    </xf>
    <xf numFmtId="166" fontId="2" fillId="0" borderId="3" xfId="0" applyNumberFormat="1" applyFont="1" applyFill="1" applyBorder="1" applyAlignment="1">
      <alignment horizontal="left" vertical="top" wrapText="1"/>
    </xf>
    <xf numFmtId="164" fontId="2" fillId="0" borderId="2" xfId="0" applyFont="1" applyFill="1" applyBorder="1" applyAlignment="1">
      <alignment horizontal="justify" vertical="top" wrapText="1"/>
    </xf>
    <xf numFmtId="166" fontId="2" fillId="0" borderId="2" xfId="0" applyNumberFormat="1" applyFont="1" applyFill="1" applyBorder="1" applyAlignment="1">
      <alignment horizontal="left" vertical="top" wrapText="1"/>
    </xf>
    <xf numFmtId="166" fontId="2" fillId="0" borderId="6" xfId="0" applyNumberFormat="1" applyFont="1" applyFill="1" applyBorder="1" applyAlignment="1">
      <alignment horizontal="center" vertical="top" wrapText="1"/>
    </xf>
    <xf numFmtId="164" fontId="12" fillId="0" borderId="1" xfId="0" applyNumberFormat="1" applyFont="1" applyFill="1" applyBorder="1" applyAlignment="1">
      <alignment horizontal="justify" vertical="top" wrapText="1"/>
    </xf>
    <xf numFmtId="164" fontId="12" fillId="0" borderId="1" xfId="0" applyFont="1" applyFill="1" applyBorder="1" applyAlignment="1">
      <alignment horizontal="left" vertical="top" wrapText="1"/>
    </xf>
    <xf numFmtId="164" fontId="6" fillId="0" borderId="1" xfId="0" applyFont="1" applyFill="1" applyBorder="1" applyAlignment="1">
      <alignment horizontal="right" vertical="top"/>
    </xf>
    <xf numFmtId="164" fontId="2" fillId="0" borderId="1" xfId="0" applyFont="1" applyFill="1" applyBorder="1" applyAlignment="1">
      <alignment vertical="top"/>
    </xf>
    <xf numFmtId="167" fontId="2" fillId="0" borderId="1" xfId="15" applyNumberFormat="1" applyFont="1" applyFill="1" applyBorder="1" applyAlignment="1" applyProtection="1">
      <alignment horizontal="right" vertical="top" wrapText="1"/>
      <protection/>
    </xf>
    <xf numFmtId="167" fontId="2" fillId="0" borderId="1" xfId="20" applyNumberFormat="1" applyFont="1" applyFill="1" applyBorder="1" applyAlignment="1" applyProtection="1">
      <alignment horizontal="right" vertical="top" wrapText="1"/>
      <protection/>
    </xf>
    <xf numFmtId="164" fontId="2" fillId="0" borderId="0" xfId="0" applyFont="1" applyFill="1" applyAlignment="1">
      <alignment/>
    </xf>
    <xf numFmtId="164" fontId="2" fillId="0" borderId="0" xfId="0" applyFont="1" applyFill="1" applyBorder="1" applyAlignment="1">
      <alignment horizontal="justify" vertical="top" wrapText="1"/>
    </xf>
    <xf numFmtId="164" fontId="2" fillId="0" borderId="0" xfId="0" applyFont="1" applyFill="1" applyAlignment="1">
      <alignment horizontal="right" vertical="top"/>
    </xf>
    <xf numFmtId="167" fontId="2" fillId="0" borderId="0" xfId="0" applyNumberFormat="1" applyFont="1" applyFill="1" applyBorder="1" applyAlignment="1">
      <alignment horizontal="center" vertical="top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Финансовый 2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1A1A1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0"/>
  <sheetViews>
    <sheetView tabSelected="1" view="pageBreakPreview" zoomScale="90" zoomScaleNormal="75" zoomScaleSheetLayoutView="90" workbookViewId="0" topLeftCell="A190">
      <selection activeCell="C159" sqref="C159"/>
    </sheetView>
  </sheetViews>
  <sheetFormatPr defaultColWidth="9.00390625" defaultRowHeight="12.75"/>
  <cols>
    <col min="1" max="1" width="9.125" style="1" customWidth="1"/>
    <col min="2" max="2" width="19.625" style="2" customWidth="1"/>
    <col min="3" max="3" width="63.375" style="3" customWidth="1"/>
    <col min="4" max="4" width="31.125" style="4" customWidth="1"/>
    <col min="5" max="5" width="8.50390625" style="1" customWidth="1"/>
    <col min="6" max="6" width="8.50390625" style="5" customWidth="1"/>
    <col min="7" max="7" width="9.375" style="5" customWidth="1"/>
    <col min="8" max="8" width="7.50390625" style="1" customWidth="1"/>
    <col min="9" max="12" width="13.375" style="6" customWidth="1"/>
    <col min="13" max="13" width="9.125" style="7" customWidth="1"/>
    <col min="14" max="14" width="0" style="7" hidden="1" customWidth="1"/>
    <col min="15" max="20" width="0" style="8" hidden="1" customWidth="1"/>
    <col min="21" max="16384" width="9.125" style="8" customWidth="1"/>
  </cols>
  <sheetData>
    <row r="1" spans="9:12" ht="142.5" customHeight="1">
      <c r="I1" s="9" t="s">
        <v>0</v>
      </c>
      <c r="J1" s="9"/>
      <c r="K1" s="9"/>
      <c r="L1" s="9"/>
    </row>
    <row r="2" spans="3:12" ht="35.25" customHeight="1">
      <c r="C2" s="10"/>
      <c r="D2" s="11"/>
      <c r="E2" s="12"/>
      <c r="F2" s="2"/>
      <c r="G2" s="2"/>
      <c r="H2" s="12"/>
      <c r="I2" s="13" t="s">
        <v>1</v>
      </c>
      <c r="J2" s="13"/>
      <c r="K2" s="13"/>
      <c r="L2" s="13"/>
    </row>
    <row r="3" spans="3:12" ht="18.75" customHeight="1">
      <c r="C3" s="10"/>
      <c r="D3" s="11"/>
      <c r="E3" s="12"/>
      <c r="F3" s="2"/>
      <c r="G3" s="14"/>
      <c r="H3" s="14"/>
      <c r="I3" s="15" t="s">
        <v>2</v>
      </c>
      <c r="J3" s="15"/>
      <c r="K3" s="15"/>
      <c r="L3" s="15"/>
    </row>
    <row r="4" spans="2:12" ht="33" customHeight="1">
      <c r="B4" s="16" t="s">
        <v>3</v>
      </c>
      <c r="C4" s="16"/>
      <c r="D4" s="16"/>
      <c r="E4" s="16"/>
      <c r="F4" s="16"/>
      <c r="G4" s="16"/>
      <c r="H4" s="16"/>
      <c r="I4" s="16"/>
      <c r="J4" s="16"/>
      <c r="K4" s="16"/>
      <c r="L4" s="16"/>
    </row>
    <row r="5" spans="3:12" ht="9" customHeight="1">
      <c r="C5" s="10"/>
      <c r="D5" s="11"/>
      <c r="E5" s="12"/>
      <c r="F5" s="2"/>
      <c r="G5" s="2"/>
      <c r="H5" s="12"/>
      <c r="I5" s="17"/>
      <c r="J5" s="17"/>
      <c r="K5" s="17"/>
      <c r="L5" s="17"/>
    </row>
    <row r="6" spans="1:14" s="21" customFormat="1" ht="31.5" customHeight="1">
      <c r="A6" s="18" t="s">
        <v>4</v>
      </c>
      <c r="B6" s="19" t="s">
        <v>5</v>
      </c>
      <c r="C6" s="18" t="s">
        <v>6</v>
      </c>
      <c r="D6" s="18" t="s">
        <v>7</v>
      </c>
      <c r="E6" s="18" t="s">
        <v>8</v>
      </c>
      <c r="F6" s="18"/>
      <c r="G6" s="18"/>
      <c r="H6" s="18"/>
      <c r="I6" s="18" t="s">
        <v>9</v>
      </c>
      <c r="J6" s="18"/>
      <c r="K6" s="18"/>
      <c r="L6" s="18"/>
      <c r="M6" s="20"/>
      <c r="N6" s="20"/>
    </row>
    <row r="7" spans="1:14" s="21" customFormat="1" ht="42" customHeight="1">
      <c r="A7" s="18"/>
      <c r="B7" s="19"/>
      <c r="C7" s="18"/>
      <c r="D7" s="18"/>
      <c r="E7" s="18" t="s">
        <v>10</v>
      </c>
      <c r="F7" s="19" t="s">
        <v>11</v>
      </c>
      <c r="G7" s="19" t="s">
        <v>12</v>
      </c>
      <c r="H7" s="18" t="s">
        <v>13</v>
      </c>
      <c r="I7" s="18" t="s">
        <v>14</v>
      </c>
      <c r="J7" s="18">
        <v>2013</v>
      </c>
      <c r="K7" s="18">
        <v>2014</v>
      </c>
      <c r="L7" s="18">
        <v>2015</v>
      </c>
      <c r="M7" s="20"/>
      <c r="N7" s="20"/>
    </row>
    <row r="8" spans="1:14" s="24" customFormat="1" ht="22.5" customHeight="1">
      <c r="A8" s="19">
        <v>1</v>
      </c>
      <c r="B8" s="18">
        <v>2</v>
      </c>
      <c r="C8" s="22">
        <v>3</v>
      </c>
      <c r="D8" s="18">
        <v>4</v>
      </c>
      <c r="E8" s="19">
        <v>5</v>
      </c>
      <c r="F8" s="19">
        <v>6</v>
      </c>
      <c r="G8" s="18">
        <v>7</v>
      </c>
      <c r="H8" s="18">
        <v>8</v>
      </c>
      <c r="I8" s="18">
        <v>9</v>
      </c>
      <c r="J8" s="18">
        <v>10</v>
      </c>
      <c r="K8" s="18">
        <v>11</v>
      </c>
      <c r="L8" s="18">
        <v>12</v>
      </c>
      <c r="M8" s="23"/>
      <c r="N8" s="23"/>
    </row>
    <row r="9" spans="1:15" s="35" customFormat="1" ht="22.5" customHeight="1">
      <c r="A9" s="25" t="s">
        <v>15</v>
      </c>
      <c r="B9" s="26" t="s">
        <v>16</v>
      </c>
      <c r="C9" s="27" t="s">
        <v>17</v>
      </c>
      <c r="D9" s="28" t="s">
        <v>18</v>
      </c>
      <c r="E9" s="29"/>
      <c r="F9" s="19"/>
      <c r="G9" s="19"/>
      <c r="H9" s="29"/>
      <c r="I9" s="30">
        <f>SUM(J9:L9)</f>
        <v>35134137.257410005</v>
      </c>
      <c r="J9" s="31">
        <f>SUM(J11:J18)</f>
        <v>12495849.22521</v>
      </c>
      <c r="K9" s="31">
        <f>SUM(K11:K18)</f>
        <v>11416376.610550001</v>
      </c>
      <c r="L9" s="31">
        <f>SUM(L11:L18)</f>
        <v>11221911.42165</v>
      </c>
      <c r="M9" s="32"/>
      <c r="N9" s="33">
        <v>12380349.225210002</v>
      </c>
      <c r="O9" s="34">
        <f>N9-J9</f>
        <v>-115499.99999999814</v>
      </c>
    </row>
    <row r="10" spans="1:14" s="37" customFormat="1" ht="47.25" customHeight="1">
      <c r="A10" s="25"/>
      <c r="B10" s="26"/>
      <c r="C10" s="27"/>
      <c r="D10" s="28" t="s">
        <v>19</v>
      </c>
      <c r="E10" s="29"/>
      <c r="F10" s="19"/>
      <c r="G10" s="19"/>
      <c r="H10" s="29"/>
      <c r="I10" s="36"/>
      <c r="J10" s="36"/>
      <c r="K10" s="36"/>
      <c r="L10" s="36"/>
      <c r="M10" s="32"/>
      <c r="N10" s="32"/>
    </row>
    <row r="11" spans="1:14" s="37" customFormat="1" ht="59.25" customHeight="1">
      <c r="A11" s="25"/>
      <c r="B11" s="26"/>
      <c r="C11" s="27"/>
      <c r="D11" s="38" t="s">
        <v>20</v>
      </c>
      <c r="E11" s="29">
        <v>828</v>
      </c>
      <c r="F11" s="19"/>
      <c r="G11" s="19"/>
      <c r="H11" s="29"/>
      <c r="I11" s="30">
        <f aca="true" t="shared" si="0" ref="I11:I79">SUM(J11:L11)</f>
        <v>1961439</v>
      </c>
      <c r="J11" s="30">
        <f>J21+J38</f>
        <v>679439</v>
      </c>
      <c r="K11" s="30">
        <f>K21+K38</f>
        <v>775000</v>
      </c>
      <c r="L11" s="30">
        <f>L21+L38</f>
        <v>507000</v>
      </c>
      <c r="M11" s="32"/>
      <c r="N11" s="32"/>
    </row>
    <row r="12" spans="1:14" s="37" customFormat="1" ht="31.5">
      <c r="A12" s="25"/>
      <c r="B12" s="26"/>
      <c r="C12" s="27"/>
      <c r="D12" s="38" t="s">
        <v>21</v>
      </c>
      <c r="E12" s="29">
        <v>831</v>
      </c>
      <c r="F12" s="19"/>
      <c r="G12" s="19"/>
      <c r="H12" s="29"/>
      <c r="I12" s="30">
        <f t="shared" si="0"/>
        <v>3627</v>
      </c>
      <c r="J12" s="30">
        <f>J134</f>
        <v>1209</v>
      </c>
      <c r="K12" s="30">
        <f>K134</f>
        <v>1209</v>
      </c>
      <c r="L12" s="30">
        <f>L134</f>
        <v>1209</v>
      </c>
      <c r="M12" s="32"/>
      <c r="N12" s="32"/>
    </row>
    <row r="13" spans="1:14" s="37" customFormat="1" ht="31.5">
      <c r="A13" s="25"/>
      <c r="B13" s="26"/>
      <c r="C13" s="27"/>
      <c r="D13" s="38" t="s">
        <v>22</v>
      </c>
      <c r="E13" s="29">
        <v>848</v>
      </c>
      <c r="F13" s="19"/>
      <c r="G13" s="19"/>
      <c r="H13" s="29"/>
      <c r="I13" s="30">
        <f t="shared" si="0"/>
        <v>9040</v>
      </c>
      <c r="J13" s="30">
        <f>J135+J192</f>
        <v>2883.7</v>
      </c>
      <c r="K13" s="30">
        <f>K135+K192</f>
        <v>3012.8</v>
      </c>
      <c r="L13" s="30">
        <f>L135+L192</f>
        <v>3143.5</v>
      </c>
      <c r="M13" s="32"/>
      <c r="N13" s="32"/>
    </row>
    <row r="14" spans="1:14" s="37" customFormat="1" ht="45.75">
      <c r="A14" s="25"/>
      <c r="B14" s="26"/>
      <c r="C14" s="27"/>
      <c r="D14" s="38" t="s">
        <v>23</v>
      </c>
      <c r="E14" s="29">
        <v>851</v>
      </c>
      <c r="F14" s="19"/>
      <c r="G14" s="19"/>
      <c r="H14" s="29"/>
      <c r="I14" s="30">
        <f t="shared" si="0"/>
        <v>3390</v>
      </c>
      <c r="J14" s="30">
        <f>J136</f>
        <v>1130</v>
      </c>
      <c r="K14" s="30">
        <f>K136</f>
        <v>1130</v>
      </c>
      <c r="L14" s="30">
        <f>L136</f>
        <v>1130</v>
      </c>
      <c r="M14" s="32"/>
      <c r="N14" s="32"/>
    </row>
    <row r="15" spans="1:14" s="37" customFormat="1" ht="44.25" customHeight="1">
      <c r="A15" s="25"/>
      <c r="B15" s="26"/>
      <c r="C15" s="27"/>
      <c r="D15" s="38" t="s">
        <v>24</v>
      </c>
      <c r="E15" s="29">
        <v>854</v>
      </c>
      <c r="F15" s="19"/>
      <c r="G15" s="19"/>
      <c r="H15" s="29"/>
      <c r="I15" s="30">
        <f t="shared" si="0"/>
        <v>630553.68244</v>
      </c>
      <c r="J15" s="30">
        <f>J137+J193</f>
        <v>211675.08166</v>
      </c>
      <c r="K15" s="30">
        <f>K137+K193</f>
        <v>208226.73595000003</v>
      </c>
      <c r="L15" s="30">
        <f>L137+L193</f>
        <v>210651.86483</v>
      </c>
      <c r="M15" s="32"/>
      <c r="N15" s="32"/>
    </row>
    <row r="16" spans="1:14" s="37" customFormat="1" ht="31.5">
      <c r="A16" s="25"/>
      <c r="B16" s="26"/>
      <c r="C16" s="27"/>
      <c r="D16" s="38" t="s">
        <v>25</v>
      </c>
      <c r="E16" s="29">
        <v>856</v>
      </c>
      <c r="F16" s="19"/>
      <c r="G16" s="19"/>
      <c r="H16" s="29"/>
      <c r="I16" s="30">
        <f t="shared" si="0"/>
        <v>439376.8</v>
      </c>
      <c r="J16" s="30">
        <f>+J91</f>
        <v>145900.3</v>
      </c>
      <c r="K16" s="30">
        <f>+K91</f>
        <v>145966.69999999998</v>
      </c>
      <c r="L16" s="30">
        <f>+L91</f>
        <v>147509.8</v>
      </c>
      <c r="M16" s="32"/>
      <c r="N16" s="32"/>
    </row>
    <row r="17" spans="1:14" s="37" customFormat="1" ht="36" customHeight="1">
      <c r="A17" s="25"/>
      <c r="B17" s="26"/>
      <c r="C17" s="27"/>
      <c r="D17" s="39" t="s">
        <v>26</v>
      </c>
      <c r="E17" s="29">
        <v>864</v>
      </c>
      <c r="F17" s="19"/>
      <c r="G17" s="19"/>
      <c r="H17" s="29"/>
      <c r="I17" s="30">
        <f t="shared" si="0"/>
        <v>9450.1</v>
      </c>
      <c r="J17" s="30">
        <f>J194</f>
        <v>2993.8</v>
      </c>
      <c r="K17" s="30">
        <f>K194</f>
        <v>3149.4</v>
      </c>
      <c r="L17" s="30">
        <f>L194</f>
        <v>3306.9</v>
      </c>
      <c r="M17" s="32"/>
      <c r="N17" s="32"/>
    </row>
    <row r="18" spans="1:18" s="37" customFormat="1" ht="31.5">
      <c r="A18" s="25"/>
      <c r="B18" s="26"/>
      <c r="C18" s="27"/>
      <c r="D18" s="39" t="s">
        <v>27</v>
      </c>
      <c r="E18" s="29">
        <v>875</v>
      </c>
      <c r="F18" s="19"/>
      <c r="G18" s="19"/>
      <c r="H18" s="29"/>
      <c r="I18" s="30">
        <f t="shared" si="0"/>
        <v>32077260.674970005</v>
      </c>
      <c r="J18" s="30">
        <f>J22+J39+J92+J138+J195+J217+J231</f>
        <v>11450618.34355</v>
      </c>
      <c r="K18" s="30">
        <f>K22+K39+K92+K138+K195+K217+K231</f>
        <v>10278681.974600002</v>
      </c>
      <c r="L18" s="30">
        <f>L22+L39+L92+L138+L195+L217+L231</f>
        <v>10347960.35682</v>
      </c>
      <c r="M18" s="32"/>
      <c r="N18" s="32">
        <v>11589609.143550001</v>
      </c>
      <c r="O18" s="40">
        <f>N18-J18</f>
        <v>138990.80000000075</v>
      </c>
      <c r="P18" s="40"/>
      <c r="Q18" s="41"/>
      <c r="R18" s="41"/>
    </row>
    <row r="19" spans="1:15" s="37" customFormat="1" ht="17.25" customHeight="1">
      <c r="A19" s="25" t="s">
        <v>28</v>
      </c>
      <c r="B19" s="26" t="s">
        <v>29</v>
      </c>
      <c r="C19" s="27" t="s">
        <v>30</v>
      </c>
      <c r="D19" s="28" t="s">
        <v>18</v>
      </c>
      <c r="E19" s="29"/>
      <c r="F19" s="19"/>
      <c r="G19" s="19"/>
      <c r="H19" s="29"/>
      <c r="I19" s="30">
        <f t="shared" si="0"/>
        <v>1037152</v>
      </c>
      <c r="J19" s="30">
        <f>J21+J22</f>
        <v>498374</v>
      </c>
      <c r="K19" s="30">
        <f>K21+K22</f>
        <v>344389</v>
      </c>
      <c r="L19" s="30">
        <f>L21+L22</f>
        <v>194389</v>
      </c>
      <c r="M19" s="32"/>
      <c r="N19" s="32">
        <v>382874</v>
      </c>
      <c r="O19" s="42">
        <f>N19-J19</f>
        <v>-115500</v>
      </c>
    </row>
    <row r="20" spans="1:14" s="37" customFormat="1" ht="50.25" customHeight="1">
      <c r="A20" s="25"/>
      <c r="B20" s="26"/>
      <c r="C20" s="27"/>
      <c r="D20" s="28" t="s">
        <v>19</v>
      </c>
      <c r="E20" s="29"/>
      <c r="F20" s="19"/>
      <c r="G20" s="19"/>
      <c r="H20" s="29"/>
      <c r="I20" s="36"/>
      <c r="J20" s="36"/>
      <c r="K20" s="36"/>
      <c r="L20" s="36"/>
      <c r="M20" s="32"/>
      <c r="N20" s="32"/>
    </row>
    <row r="21" spans="1:14" s="37" customFormat="1" ht="61.5" customHeight="1">
      <c r="A21" s="25"/>
      <c r="B21" s="26"/>
      <c r="C21" s="27"/>
      <c r="D21" s="38" t="s">
        <v>20</v>
      </c>
      <c r="E21" s="29">
        <v>828</v>
      </c>
      <c r="F21" s="19"/>
      <c r="G21" s="19"/>
      <c r="H21" s="29"/>
      <c r="I21" s="36">
        <f t="shared" si="0"/>
        <v>1004985</v>
      </c>
      <c r="J21" s="36">
        <f>J25+J26</f>
        <v>484985</v>
      </c>
      <c r="K21" s="36">
        <f>K25+K26</f>
        <v>335000</v>
      </c>
      <c r="L21" s="36">
        <f>L25+L26</f>
        <v>185000</v>
      </c>
      <c r="M21" s="32"/>
      <c r="N21" s="32"/>
    </row>
    <row r="22" spans="1:14" s="37" customFormat="1" ht="31.5" customHeight="1">
      <c r="A22" s="25"/>
      <c r="B22" s="26"/>
      <c r="C22" s="27"/>
      <c r="D22" s="38" t="s">
        <v>27</v>
      </c>
      <c r="E22" s="29">
        <v>875</v>
      </c>
      <c r="F22" s="19"/>
      <c r="G22" s="19"/>
      <c r="H22" s="29"/>
      <c r="I22" s="36">
        <f t="shared" si="0"/>
        <v>32167</v>
      </c>
      <c r="J22" s="36">
        <f>J27+J29+J30+J33+J31+J35+J34</f>
        <v>13389</v>
      </c>
      <c r="K22" s="36">
        <f>K27+K29+K30+K33+K31+K35</f>
        <v>9389</v>
      </c>
      <c r="L22" s="36">
        <f>L27+L29+L30+L33+L31+L35</f>
        <v>9389</v>
      </c>
      <c r="M22" s="32"/>
      <c r="N22" s="32"/>
    </row>
    <row r="23" spans="1:14" s="37" customFormat="1" ht="31.5">
      <c r="A23" s="25" t="s">
        <v>31</v>
      </c>
      <c r="B23" s="19" t="s">
        <v>32</v>
      </c>
      <c r="C23" s="27"/>
      <c r="D23" s="39"/>
      <c r="E23" s="29"/>
      <c r="F23" s="19"/>
      <c r="G23" s="19"/>
      <c r="H23" s="43"/>
      <c r="I23" s="36"/>
      <c r="J23" s="36"/>
      <c r="K23" s="36"/>
      <c r="L23" s="36"/>
      <c r="M23" s="7"/>
      <c r="N23" s="7"/>
    </row>
    <row r="24" spans="1:14" s="35" customFormat="1" ht="39.75" customHeight="1">
      <c r="A24" s="25" t="s">
        <v>33</v>
      </c>
      <c r="B24" s="44" t="s">
        <v>34</v>
      </c>
      <c r="C24" s="45" t="s">
        <v>35</v>
      </c>
      <c r="D24" s="46"/>
      <c r="E24" s="47"/>
      <c r="F24" s="26"/>
      <c r="G24" s="26"/>
      <c r="H24" s="48"/>
      <c r="I24" s="30"/>
      <c r="J24" s="30"/>
      <c r="K24" s="30"/>
      <c r="L24" s="30"/>
      <c r="M24" s="7"/>
      <c r="N24" s="7"/>
    </row>
    <row r="25" spans="1:14" s="37" customFormat="1" ht="33" customHeight="1">
      <c r="A25" s="25" t="s">
        <v>36</v>
      </c>
      <c r="B25" s="19" t="s">
        <v>37</v>
      </c>
      <c r="C25" s="49" t="s">
        <v>38</v>
      </c>
      <c r="D25" s="50" t="s">
        <v>20</v>
      </c>
      <c r="E25" s="29">
        <v>828</v>
      </c>
      <c r="F25" s="19" t="s">
        <v>39</v>
      </c>
      <c r="G25" s="19" t="s">
        <v>40</v>
      </c>
      <c r="H25" s="43">
        <v>523</v>
      </c>
      <c r="I25" s="36">
        <f t="shared" si="0"/>
        <v>750494.2</v>
      </c>
      <c r="J25" s="36">
        <v>230494.2</v>
      </c>
      <c r="K25" s="36">
        <v>335000</v>
      </c>
      <c r="L25" s="36">
        <v>185000</v>
      </c>
      <c r="M25" s="7"/>
      <c r="N25" s="7"/>
    </row>
    <row r="26" spans="1:14" s="37" customFormat="1" ht="33" customHeight="1">
      <c r="A26" s="25"/>
      <c r="B26" s="19"/>
      <c r="C26" s="49"/>
      <c r="D26" s="50"/>
      <c r="E26" s="29">
        <v>828</v>
      </c>
      <c r="F26" s="19" t="s">
        <v>39</v>
      </c>
      <c r="G26" s="19" t="s">
        <v>41</v>
      </c>
      <c r="H26" s="43">
        <v>523</v>
      </c>
      <c r="I26" s="36">
        <f t="shared" si="0"/>
        <v>254490.8</v>
      </c>
      <c r="J26" s="36">
        <v>254490.8</v>
      </c>
      <c r="K26" s="36">
        <v>0</v>
      </c>
      <c r="L26" s="36">
        <v>0</v>
      </c>
      <c r="M26" s="7"/>
      <c r="N26" s="7"/>
    </row>
    <row r="27" spans="1:14" s="37" customFormat="1" ht="38.25" customHeight="1">
      <c r="A27" s="25" t="s">
        <v>42</v>
      </c>
      <c r="B27" s="19" t="s">
        <v>43</v>
      </c>
      <c r="C27" s="49" t="s">
        <v>44</v>
      </c>
      <c r="D27" s="38" t="s">
        <v>27</v>
      </c>
      <c r="E27" s="29">
        <v>875</v>
      </c>
      <c r="F27" s="19" t="s">
        <v>45</v>
      </c>
      <c r="G27" s="19" t="s">
        <v>46</v>
      </c>
      <c r="H27" s="43">
        <v>622</v>
      </c>
      <c r="I27" s="36">
        <f t="shared" si="0"/>
        <v>450</v>
      </c>
      <c r="J27" s="36">
        <v>150</v>
      </c>
      <c r="K27" s="36">
        <v>150</v>
      </c>
      <c r="L27" s="36">
        <v>150</v>
      </c>
      <c r="M27" s="7"/>
      <c r="N27" s="7"/>
    </row>
    <row r="28" spans="1:14" s="35" customFormat="1" ht="33.75" customHeight="1">
      <c r="A28" s="25" t="s">
        <v>47</v>
      </c>
      <c r="B28" s="26" t="s">
        <v>34</v>
      </c>
      <c r="C28" s="45" t="s">
        <v>48</v>
      </c>
      <c r="D28" s="28"/>
      <c r="E28" s="47"/>
      <c r="F28" s="26"/>
      <c r="G28" s="26"/>
      <c r="H28" s="48"/>
      <c r="I28" s="30"/>
      <c r="J28" s="30"/>
      <c r="K28" s="30"/>
      <c r="L28" s="30"/>
      <c r="M28" s="7"/>
      <c r="N28" s="7"/>
    </row>
    <row r="29" spans="1:14" s="37" customFormat="1" ht="38.25" customHeight="1">
      <c r="A29" s="25" t="s">
        <v>49</v>
      </c>
      <c r="B29" s="19" t="s">
        <v>50</v>
      </c>
      <c r="C29" s="22" t="s">
        <v>51</v>
      </c>
      <c r="D29" s="38" t="s">
        <v>27</v>
      </c>
      <c r="E29" s="19" t="s">
        <v>52</v>
      </c>
      <c r="F29" s="19" t="s">
        <v>45</v>
      </c>
      <c r="G29" s="19" t="s">
        <v>46</v>
      </c>
      <c r="H29" s="19" t="s">
        <v>53</v>
      </c>
      <c r="I29" s="36">
        <f t="shared" si="0"/>
        <v>1200</v>
      </c>
      <c r="J29" s="36">
        <v>400</v>
      </c>
      <c r="K29" s="36">
        <v>400</v>
      </c>
      <c r="L29" s="36">
        <v>400</v>
      </c>
      <c r="M29" s="7"/>
      <c r="N29" s="7"/>
    </row>
    <row r="30" spans="1:14" s="35" customFormat="1" ht="40.5" customHeight="1">
      <c r="A30" s="25" t="s">
        <v>54</v>
      </c>
      <c r="B30" s="19" t="s">
        <v>55</v>
      </c>
      <c r="C30" s="49" t="s">
        <v>56</v>
      </c>
      <c r="D30" s="38" t="s">
        <v>27</v>
      </c>
      <c r="E30" s="29">
        <v>875</v>
      </c>
      <c r="F30" s="19" t="s">
        <v>45</v>
      </c>
      <c r="G30" s="19" t="s">
        <v>46</v>
      </c>
      <c r="H30" s="29">
        <v>622</v>
      </c>
      <c r="I30" s="36">
        <f t="shared" si="0"/>
        <v>1200</v>
      </c>
      <c r="J30" s="36">
        <v>400</v>
      </c>
      <c r="K30" s="36">
        <v>400</v>
      </c>
      <c r="L30" s="36">
        <v>400</v>
      </c>
      <c r="M30" s="7"/>
      <c r="N30" s="7"/>
    </row>
    <row r="31" spans="1:14" s="35" customFormat="1" ht="39.75" customHeight="1">
      <c r="A31" s="25" t="s">
        <v>57</v>
      </c>
      <c r="B31" s="19" t="s">
        <v>58</v>
      </c>
      <c r="C31" s="49" t="s">
        <v>59</v>
      </c>
      <c r="D31" s="38" t="s">
        <v>27</v>
      </c>
      <c r="E31" s="19" t="s">
        <v>52</v>
      </c>
      <c r="F31" s="51" t="s">
        <v>39</v>
      </c>
      <c r="G31" s="19" t="s">
        <v>60</v>
      </c>
      <c r="H31" s="19" t="s">
        <v>61</v>
      </c>
      <c r="I31" s="36">
        <f t="shared" si="0"/>
        <v>20067</v>
      </c>
      <c r="J31" s="36">
        <v>6689</v>
      </c>
      <c r="K31" s="36">
        <v>6689</v>
      </c>
      <c r="L31" s="36">
        <v>6689</v>
      </c>
      <c r="M31" s="7"/>
      <c r="N31" s="7"/>
    </row>
    <row r="32" spans="1:14" s="35" customFormat="1" ht="33.75" customHeight="1">
      <c r="A32" s="25" t="s">
        <v>62</v>
      </c>
      <c r="B32" s="26" t="s">
        <v>34</v>
      </c>
      <c r="C32" s="45" t="s">
        <v>63</v>
      </c>
      <c r="D32" s="28"/>
      <c r="E32" s="47"/>
      <c r="F32" s="26"/>
      <c r="G32" s="26"/>
      <c r="H32" s="26"/>
      <c r="I32" s="30"/>
      <c r="J32" s="30"/>
      <c r="K32" s="30"/>
      <c r="L32" s="30"/>
      <c r="M32" s="7"/>
      <c r="N32" s="7"/>
    </row>
    <row r="33" spans="1:14" s="35" customFormat="1" ht="17.25" customHeight="1">
      <c r="A33" s="25" t="s">
        <v>64</v>
      </c>
      <c r="B33" s="19" t="s">
        <v>65</v>
      </c>
      <c r="C33" s="49" t="s">
        <v>66</v>
      </c>
      <c r="D33" s="50" t="s">
        <v>27</v>
      </c>
      <c r="E33" s="29">
        <v>875</v>
      </c>
      <c r="F33" s="19" t="s">
        <v>45</v>
      </c>
      <c r="G33" s="19" t="s">
        <v>46</v>
      </c>
      <c r="H33" s="19" t="s">
        <v>53</v>
      </c>
      <c r="I33" s="36">
        <f t="shared" si="0"/>
        <v>300</v>
      </c>
      <c r="J33" s="36">
        <v>100</v>
      </c>
      <c r="K33" s="36">
        <v>100</v>
      </c>
      <c r="L33" s="36">
        <v>100</v>
      </c>
      <c r="M33" s="7"/>
      <c r="N33" s="7"/>
    </row>
    <row r="34" spans="1:14" s="35" customFormat="1" ht="27" customHeight="1">
      <c r="A34" s="25"/>
      <c r="B34" s="19"/>
      <c r="C34" s="49"/>
      <c r="D34" s="50"/>
      <c r="E34" s="29">
        <v>875</v>
      </c>
      <c r="F34" s="19" t="s">
        <v>39</v>
      </c>
      <c r="G34" s="19" t="s">
        <v>46</v>
      </c>
      <c r="H34" s="19" t="s">
        <v>53</v>
      </c>
      <c r="I34" s="36">
        <f t="shared" si="0"/>
        <v>4000</v>
      </c>
      <c r="J34" s="36">
        <v>4000</v>
      </c>
      <c r="K34" s="36">
        <v>0</v>
      </c>
      <c r="L34" s="36">
        <v>0</v>
      </c>
      <c r="M34" s="7"/>
      <c r="N34" s="7"/>
    </row>
    <row r="35" spans="1:14" s="35" customFormat="1" ht="39.75" customHeight="1">
      <c r="A35" s="25" t="s">
        <v>67</v>
      </c>
      <c r="B35" s="19" t="s">
        <v>68</v>
      </c>
      <c r="C35" s="49" t="s">
        <v>69</v>
      </c>
      <c r="D35" s="38" t="s">
        <v>27</v>
      </c>
      <c r="E35" s="29">
        <v>875</v>
      </c>
      <c r="F35" s="19" t="s">
        <v>45</v>
      </c>
      <c r="G35" s="19" t="s">
        <v>46</v>
      </c>
      <c r="H35" s="19" t="s">
        <v>53</v>
      </c>
      <c r="I35" s="36">
        <f t="shared" si="0"/>
        <v>4950</v>
      </c>
      <c r="J35" s="36">
        <v>1650</v>
      </c>
      <c r="K35" s="36">
        <v>1650</v>
      </c>
      <c r="L35" s="36">
        <v>1650</v>
      </c>
      <c r="M35" s="7"/>
      <c r="N35" s="7"/>
    </row>
    <row r="36" spans="1:15" ht="18.75" customHeight="1">
      <c r="A36" s="25" t="s">
        <v>70</v>
      </c>
      <c r="B36" s="26" t="s">
        <v>71</v>
      </c>
      <c r="C36" s="27" t="s">
        <v>72</v>
      </c>
      <c r="D36" s="28" t="s">
        <v>18</v>
      </c>
      <c r="E36" s="29"/>
      <c r="F36" s="19"/>
      <c r="G36" s="19"/>
      <c r="H36" s="29"/>
      <c r="I36" s="30">
        <f t="shared" si="0"/>
        <v>20062073.63337</v>
      </c>
      <c r="J36" s="30">
        <f>J38+J39</f>
        <v>7311134.91799</v>
      </c>
      <c r="K36" s="30">
        <f>K38+K39</f>
        <v>6417522.76852</v>
      </c>
      <c r="L36" s="30">
        <f>L38+L39</f>
        <v>6333415.9468600005</v>
      </c>
      <c r="M36" s="32"/>
      <c r="N36" s="32">
        <v>7311134.91799</v>
      </c>
      <c r="O36" s="52">
        <f>N36-J36</f>
        <v>0</v>
      </c>
    </row>
    <row r="37" spans="1:14" ht="47.25" customHeight="1">
      <c r="A37" s="25"/>
      <c r="B37" s="26"/>
      <c r="C37" s="27"/>
      <c r="D37" s="28" t="s">
        <v>19</v>
      </c>
      <c r="E37" s="29"/>
      <c r="F37" s="19"/>
      <c r="G37" s="19"/>
      <c r="H37" s="29"/>
      <c r="I37" s="36"/>
      <c r="J37" s="36"/>
      <c r="K37" s="36"/>
      <c r="L37" s="36"/>
      <c r="M37" s="32"/>
      <c r="N37" s="32"/>
    </row>
    <row r="38" spans="1:14" ht="59.25">
      <c r="A38" s="25"/>
      <c r="B38" s="26"/>
      <c r="C38" s="27"/>
      <c r="D38" s="38" t="s">
        <v>20</v>
      </c>
      <c r="E38" s="29">
        <v>828</v>
      </c>
      <c r="F38" s="19"/>
      <c r="G38" s="19"/>
      <c r="H38" s="29"/>
      <c r="I38" s="36">
        <f t="shared" si="0"/>
        <v>956454</v>
      </c>
      <c r="J38" s="36">
        <f>J51</f>
        <v>194454</v>
      </c>
      <c r="K38" s="36">
        <f>K51</f>
        <v>440000</v>
      </c>
      <c r="L38" s="36">
        <f>L51</f>
        <v>322000</v>
      </c>
      <c r="M38" s="32"/>
      <c r="N38" s="32"/>
    </row>
    <row r="39" spans="1:14" ht="31.5">
      <c r="A39" s="25"/>
      <c r="B39" s="26"/>
      <c r="C39" s="27"/>
      <c r="D39" s="38" t="s">
        <v>27</v>
      </c>
      <c r="E39" s="29">
        <v>875</v>
      </c>
      <c r="F39" s="19"/>
      <c r="G39" s="19"/>
      <c r="H39" s="29"/>
      <c r="I39" s="36">
        <f t="shared" si="0"/>
        <v>19105619.63337</v>
      </c>
      <c r="J39" s="36">
        <f>J42+J45+J53+J69+J71+J74+J66+J76+J79+J88</f>
        <v>7116680.91799</v>
      </c>
      <c r="K39" s="36">
        <f>K42+K45+K53+K69+K71+K74+K66+K76+K79+K88</f>
        <v>5977522.76852</v>
      </c>
      <c r="L39" s="36">
        <f>L42+L45+L53+L69+L71+L74+L66+L76+L79+L88</f>
        <v>6011415.9468600005</v>
      </c>
      <c r="M39" s="32"/>
      <c r="N39" s="32"/>
    </row>
    <row r="40" spans="1:12" ht="34.5" customHeight="1">
      <c r="A40" s="25" t="s">
        <v>73</v>
      </c>
      <c r="B40" s="19" t="s">
        <v>32</v>
      </c>
      <c r="C40" s="27"/>
      <c r="D40" s="38"/>
      <c r="E40" s="29"/>
      <c r="F40" s="19"/>
      <c r="G40" s="19"/>
      <c r="H40" s="29"/>
      <c r="I40" s="36"/>
      <c r="J40" s="36"/>
      <c r="K40" s="36"/>
      <c r="L40" s="36"/>
    </row>
    <row r="41" spans="1:14" s="53" customFormat="1" ht="20.25" customHeight="1">
      <c r="A41" s="25" t="s">
        <v>74</v>
      </c>
      <c r="B41" s="44" t="s">
        <v>34</v>
      </c>
      <c r="C41" s="45" t="s">
        <v>75</v>
      </c>
      <c r="D41" s="46"/>
      <c r="E41" s="26"/>
      <c r="F41" s="26"/>
      <c r="G41" s="26"/>
      <c r="H41" s="26"/>
      <c r="I41" s="30"/>
      <c r="J41" s="30"/>
      <c r="K41" s="30"/>
      <c r="L41" s="30"/>
      <c r="M41" s="7"/>
      <c r="N41" s="7"/>
    </row>
    <row r="42" spans="1:19" ht="17.25" customHeight="1">
      <c r="A42" s="25" t="s">
        <v>76</v>
      </c>
      <c r="B42" s="19" t="s">
        <v>77</v>
      </c>
      <c r="C42" s="49" t="s">
        <v>78</v>
      </c>
      <c r="D42" s="54"/>
      <c r="E42" s="55"/>
      <c r="F42" s="55"/>
      <c r="G42" s="55"/>
      <c r="H42" s="55"/>
      <c r="I42" s="36">
        <f t="shared" si="0"/>
        <v>15942662</v>
      </c>
      <c r="J42" s="36">
        <f>SUM(J43:J44)</f>
        <v>5799372.4</v>
      </c>
      <c r="K42" s="36">
        <f>SUM(K43:K44)</f>
        <v>5071644.8</v>
      </c>
      <c r="L42" s="36">
        <f>SUM(L43:L44)</f>
        <v>5071644.8</v>
      </c>
      <c r="M42" s="32"/>
      <c r="N42" s="32">
        <v>5799372.4</v>
      </c>
      <c r="O42" s="8">
        <v>5071644.8</v>
      </c>
      <c r="P42" s="8">
        <v>5071644.8</v>
      </c>
      <c r="Q42" s="52">
        <f>N42-J42</f>
        <v>0</v>
      </c>
      <c r="R42" s="52">
        <f>O42-K42</f>
        <v>0</v>
      </c>
      <c r="S42" s="52">
        <f>P42-L42</f>
        <v>0</v>
      </c>
    </row>
    <row r="43" spans="1:14" ht="36.75" customHeight="1">
      <c r="A43" s="25"/>
      <c r="B43" s="19"/>
      <c r="C43" s="49"/>
      <c r="D43" s="50" t="s">
        <v>27</v>
      </c>
      <c r="E43" s="19" t="s">
        <v>52</v>
      </c>
      <c r="F43" s="19" t="s">
        <v>79</v>
      </c>
      <c r="G43" s="19" t="s">
        <v>80</v>
      </c>
      <c r="H43" s="19" t="s">
        <v>81</v>
      </c>
      <c r="I43" s="36">
        <f t="shared" si="0"/>
        <v>15577548.4</v>
      </c>
      <c r="J43" s="36">
        <v>5678431.4</v>
      </c>
      <c r="K43" s="36">
        <v>4949558.5</v>
      </c>
      <c r="L43" s="36">
        <v>4949558.5</v>
      </c>
      <c r="M43" s="32"/>
      <c r="N43" s="32"/>
    </row>
    <row r="44" spans="1:14" ht="24.75" customHeight="1">
      <c r="A44" s="25"/>
      <c r="B44" s="19"/>
      <c r="C44" s="49"/>
      <c r="D44" s="50"/>
      <c r="E44" s="19" t="s">
        <v>52</v>
      </c>
      <c r="F44" s="19" t="s">
        <v>79</v>
      </c>
      <c r="G44" s="19" t="s">
        <v>82</v>
      </c>
      <c r="H44" s="19" t="s">
        <v>81</v>
      </c>
      <c r="I44" s="36">
        <f t="shared" si="0"/>
        <v>365113.6</v>
      </c>
      <c r="J44" s="36">
        <v>120941</v>
      </c>
      <c r="K44" s="36">
        <v>122086.3</v>
      </c>
      <c r="L44" s="36">
        <v>122086.3</v>
      </c>
      <c r="M44" s="32"/>
      <c r="N44" s="32"/>
    </row>
    <row r="45" spans="1:19" ht="15.75" customHeight="1">
      <c r="A45" s="25" t="s">
        <v>83</v>
      </c>
      <c r="B45" s="19" t="s">
        <v>84</v>
      </c>
      <c r="C45" s="49" t="s">
        <v>85</v>
      </c>
      <c r="D45" s="38"/>
      <c r="E45" s="19"/>
      <c r="F45" s="19"/>
      <c r="G45" s="19"/>
      <c r="H45" s="19"/>
      <c r="I45" s="36">
        <f t="shared" si="0"/>
        <v>1049342.54647</v>
      </c>
      <c r="J45" s="36">
        <f>SUM(J46:J50)</f>
        <v>370285.18277</v>
      </c>
      <c r="K45" s="36">
        <f>SUM(K46:K50)</f>
        <v>338852.39943</v>
      </c>
      <c r="L45" s="36">
        <f>SUM(L46:L50)</f>
        <v>340204.96427</v>
      </c>
      <c r="M45" s="32"/>
      <c r="N45" s="32">
        <v>370285.18277</v>
      </c>
      <c r="O45" s="8">
        <v>338852.39943</v>
      </c>
      <c r="P45" s="8">
        <v>340204.96427</v>
      </c>
      <c r="Q45" s="52">
        <f>N45-J45</f>
        <v>0</v>
      </c>
      <c r="R45" s="52">
        <f>O45-K45</f>
        <v>0</v>
      </c>
      <c r="S45" s="52">
        <f>P45-L45</f>
        <v>0</v>
      </c>
    </row>
    <row r="46" spans="1:14" ht="18" customHeight="1">
      <c r="A46" s="25"/>
      <c r="B46" s="19"/>
      <c r="C46" s="49"/>
      <c r="D46" s="50" t="s">
        <v>27</v>
      </c>
      <c r="E46" s="19" t="s">
        <v>52</v>
      </c>
      <c r="F46" s="19" t="s">
        <v>79</v>
      </c>
      <c r="G46" s="19" t="s">
        <v>86</v>
      </c>
      <c r="H46" s="19" t="s">
        <v>87</v>
      </c>
      <c r="I46" s="36">
        <f t="shared" si="0"/>
        <v>404922.46108</v>
      </c>
      <c r="J46" s="36">
        <v>142759.75246</v>
      </c>
      <c r="K46" s="36">
        <v>130950.52489</v>
      </c>
      <c r="L46" s="36">
        <v>131212.18373</v>
      </c>
      <c r="M46" s="32"/>
      <c r="N46" s="32"/>
    </row>
    <row r="47" spans="1:14" ht="18" customHeight="1">
      <c r="A47" s="25"/>
      <c r="B47" s="19"/>
      <c r="C47" s="49"/>
      <c r="D47" s="50"/>
      <c r="E47" s="19" t="s">
        <v>52</v>
      </c>
      <c r="F47" s="19" t="s">
        <v>79</v>
      </c>
      <c r="G47" s="19" t="s">
        <v>88</v>
      </c>
      <c r="H47" s="19" t="s">
        <v>87</v>
      </c>
      <c r="I47" s="36">
        <f t="shared" si="0"/>
        <v>419159.51506999996</v>
      </c>
      <c r="J47" s="36">
        <v>148006.47187</v>
      </c>
      <c r="K47" s="36">
        <v>135224.7921</v>
      </c>
      <c r="L47" s="36">
        <v>135928.2511</v>
      </c>
      <c r="M47" s="32"/>
      <c r="N47" s="32"/>
    </row>
    <row r="48" spans="1:14" ht="18" customHeight="1">
      <c r="A48" s="25"/>
      <c r="B48" s="19"/>
      <c r="C48" s="49"/>
      <c r="D48" s="50"/>
      <c r="E48" s="19" t="s">
        <v>52</v>
      </c>
      <c r="F48" s="19" t="s">
        <v>79</v>
      </c>
      <c r="G48" s="19" t="s">
        <v>88</v>
      </c>
      <c r="H48" s="19" t="s">
        <v>89</v>
      </c>
      <c r="I48" s="36">
        <f t="shared" si="0"/>
        <v>218276.57032</v>
      </c>
      <c r="J48" s="36">
        <v>77190.95844</v>
      </c>
      <c r="K48" s="36">
        <v>70349.08244</v>
      </c>
      <c r="L48" s="36">
        <v>70736.52944</v>
      </c>
      <c r="M48" s="32"/>
      <c r="N48" s="32"/>
    </row>
    <row r="49" spans="1:14" ht="18" customHeight="1">
      <c r="A49" s="25"/>
      <c r="B49" s="19"/>
      <c r="C49" s="49"/>
      <c r="D49" s="50"/>
      <c r="E49" s="19" t="s">
        <v>52</v>
      </c>
      <c r="F49" s="19" t="s">
        <v>79</v>
      </c>
      <c r="G49" s="19" t="s">
        <v>82</v>
      </c>
      <c r="H49" s="19" t="s">
        <v>90</v>
      </c>
      <c r="I49" s="36">
        <f t="shared" si="0"/>
        <v>6192</v>
      </c>
      <c r="J49" s="36">
        <v>2064</v>
      </c>
      <c r="K49" s="36">
        <v>2064</v>
      </c>
      <c r="L49" s="36">
        <v>2064</v>
      </c>
      <c r="M49" s="32"/>
      <c r="N49" s="32"/>
    </row>
    <row r="50" spans="1:14" ht="18" customHeight="1">
      <c r="A50" s="25"/>
      <c r="B50" s="19"/>
      <c r="C50" s="49"/>
      <c r="D50" s="50"/>
      <c r="E50" s="19" t="s">
        <v>52</v>
      </c>
      <c r="F50" s="19" t="s">
        <v>79</v>
      </c>
      <c r="G50" s="19" t="s">
        <v>82</v>
      </c>
      <c r="H50" s="19" t="s">
        <v>53</v>
      </c>
      <c r="I50" s="36">
        <f t="shared" si="0"/>
        <v>792</v>
      </c>
      <c r="J50" s="36">
        <v>264</v>
      </c>
      <c r="K50" s="36">
        <v>264</v>
      </c>
      <c r="L50" s="36">
        <v>264</v>
      </c>
      <c r="M50" s="32"/>
      <c r="N50" s="32"/>
    </row>
    <row r="51" spans="1:19" ht="53.25" customHeight="1">
      <c r="A51" s="25" t="s">
        <v>91</v>
      </c>
      <c r="B51" s="56" t="s">
        <v>92</v>
      </c>
      <c r="C51" s="57" t="s">
        <v>93</v>
      </c>
      <c r="D51" s="38" t="s">
        <v>20</v>
      </c>
      <c r="E51" s="19" t="s">
        <v>94</v>
      </c>
      <c r="F51" s="19" t="s">
        <v>79</v>
      </c>
      <c r="G51" s="19" t="s">
        <v>40</v>
      </c>
      <c r="H51" s="19" t="s">
        <v>95</v>
      </c>
      <c r="I51" s="36">
        <f t="shared" si="0"/>
        <v>956454</v>
      </c>
      <c r="J51" s="36">
        <v>194454</v>
      </c>
      <c r="K51" s="36">
        <v>440000</v>
      </c>
      <c r="L51" s="36">
        <v>322000</v>
      </c>
      <c r="N51" s="7">
        <v>194454</v>
      </c>
      <c r="O51" s="8">
        <v>440000</v>
      </c>
      <c r="P51" s="8">
        <v>322000</v>
      </c>
      <c r="Q51" s="52">
        <f>N51-J51</f>
        <v>0</v>
      </c>
      <c r="R51" s="52">
        <f>O51-K51</f>
        <v>0</v>
      </c>
      <c r="S51" s="52">
        <f>P51-L51</f>
        <v>0</v>
      </c>
    </row>
    <row r="52" spans="1:14" s="53" customFormat="1" ht="20.25" customHeight="1">
      <c r="A52" s="25" t="s">
        <v>96</v>
      </c>
      <c r="B52" s="26" t="s">
        <v>34</v>
      </c>
      <c r="C52" s="45" t="s">
        <v>97</v>
      </c>
      <c r="D52" s="46"/>
      <c r="E52" s="26"/>
      <c r="F52" s="26"/>
      <c r="G52" s="26"/>
      <c r="H52" s="26"/>
      <c r="I52" s="30"/>
      <c r="J52" s="30"/>
      <c r="K52" s="30"/>
      <c r="L52" s="30"/>
      <c r="M52" s="7"/>
      <c r="N52" s="7"/>
    </row>
    <row r="53" spans="1:19" ht="17.25" customHeight="1">
      <c r="A53" s="25" t="s">
        <v>98</v>
      </c>
      <c r="B53" s="19" t="s">
        <v>99</v>
      </c>
      <c r="C53" s="22" t="s">
        <v>100</v>
      </c>
      <c r="D53" s="38"/>
      <c r="E53" s="19"/>
      <c r="F53" s="19"/>
      <c r="G53" s="19"/>
      <c r="H53" s="19"/>
      <c r="I53" s="36">
        <f t="shared" si="0"/>
        <v>751301.08595</v>
      </c>
      <c r="J53" s="36">
        <f>SUM(J54:J65)</f>
        <v>510646.68595</v>
      </c>
      <c r="K53" s="36">
        <f>SUM(K54:K64)</f>
        <v>116827.2</v>
      </c>
      <c r="L53" s="36">
        <f>SUM(L54:L64)</f>
        <v>123827.2</v>
      </c>
      <c r="M53" s="32"/>
      <c r="N53" s="32">
        <v>437334.37249999994</v>
      </c>
      <c r="O53" s="8">
        <v>116827.2</v>
      </c>
      <c r="P53" s="8">
        <v>123827.2</v>
      </c>
      <c r="Q53" s="52">
        <f>N53-J53</f>
        <v>-73312.31345000007</v>
      </c>
      <c r="R53" s="52">
        <f>O53-K53</f>
        <v>0</v>
      </c>
      <c r="S53" s="52">
        <f>P53-L53</f>
        <v>0</v>
      </c>
    </row>
    <row r="54" spans="1:14" ht="15.75" customHeight="1">
      <c r="A54" s="25"/>
      <c r="B54" s="19"/>
      <c r="C54" s="22"/>
      <c r="D54" s="50" t="s">
        <v>27</v>
      </c>
      <c r="E54" s="19" t="s">
        <v>52</v>
      </c>
      <c r="F54" s="19" t="s">
        <v>79</v>
      </c>
      <c r="G54" s="19" t="s">
        <v>101</v>
      </c>
      <c r="H54" s="19" t="s">
        <v>90</v>
      </c>
      <c r="I54" s="36">
        <f t="shared" si="0"/>
        <v>16200</v>
      </c>
      <c r="J54" s="36">
        <f>4200+6500</f>
        <v>10700</v>
      </c>
      <c r="K54" s="36">
        <v>1000</v>
      </c>
      <c r="L54" s="36">
        <v>4500</v>
      </c>
      <c r="M54" s="32"/>
      <c r="N54" s="32"/>
    </row>
    <row r="55" spans="1:14" ht="16.5" customHeight="1">
      <c r="A55" s="25"/>
      <c r="B55" s="19"/>
      <c r="C55" s="22"/>
      <c r="D55" s="50"/>
      <c r="E55" s="19" t="s">
        <v>52</v>
      </c>
      <c r="F55" s="19" t="s">
        <v>79</v>
      </c>
      <c r="G55" s="19" t="s">
        <v>101</v>
      </c>
      <c r="H55" s="19" t="s">
        <v>53</v>
      </c>
      <c r="I55" s="36">
        <f t="shared" si="0"/>
        <v>11000</v>
      </c>
      <c r="J55" s="36">
        <f>28682.8-21682.8</f>
        <v>7000</v>
      </c>
      <c r="K55" s="36">
        <v>500</v>
      </c>
      <c r="L55" s="36">
        <v>3500</v>
      </c>
      <c r="M55" s="32"/>
      <c r="N55" s="32"/>
    </row>
    <row r="56" spans="1:14" ht="15.75" customHeight="1">
      <c r="A56" s="25"/>
      <c r="B56" s="19"/>
      <c r="C56" s="22"/>
      <c r="D56" s="50"/>
      <c r="E56" s="19" t="s">
        <v>52</v>
      </c>
      <c r="F56" s="19" t="s">
        <v>79</v>
      </c>
      <c r="G56" s="19" t="s">
        <v>102</v>
      </c>
      <c r="H56" s="19" t="s">
        <v>53</v>
      </c>
      <c r="I56" s="36">
        <f t="shared" si="0"/>
        <v>2500</v>
      </c>
      <c r="J56" s="36">
        <v>1000</v>
      </c>
      <c r="K56" s="36">
        <v>500</v>
      </c>
      <c r="L56" s="36">
        <v>1000</v>
      </c>
      <c r="M56" s="32"/>
      <c r="N56" s="32"/>
    </row>
    <row r="57" spans="1:14" ht="15.75" customHeight="1">
      <c r="A57" s="25"/>
      <c r="B57" s="19"/>
      <c r="C57" s="22"/>
      <c r="D57" s="50"/>
      <c r="E57" s="51" t="s">
        <v>52</v>
      </c>
      <c r="F57" s="19" t="s">
        <v>79</v>
      </c>
      <c r="G57" s="51" t="s">
        <v>60</v>
      </c>
      <c r="H57" s="51" t="s">
        <v>61</v>
      </c>
      <c r="I57" s="36">
        <f t="shared" si="0"/>
        <v>84000</v>
      </c>
      <c r="J57" s="36">
        <v>28000</v>
      </c>
      <c r="K57" s="36">
        <v>28000</v>
      </c>
      <c r="L57" s="36">
        <v>28000</v>
      </c>
      <c r="M57" s="32"/>
      <c r="N57" s="32"/>
    </row>
    <row r="58" spans="1:14" ht="15.75" customHeight="1">
      <c r="A58" s="25"/>
      <c r="B58" s="19"/>
      <c r="C58" s="22"/>
      <c r="D58" s="50"/>
      <c r="E58" s="51" t="s">
        <v>52</v>
      </c>
      <c r="F58" s="19" t="s">
        <v>79</v>
      </c>
      <c r="G58" s="51" t="s">
        <v>103</v>
      </c>
      <c r="H58" s="51" t="s">
        <v>104</v>
      </c>
      <c r="I58" s="36">
        <f t="shared" si="0"/>
        <v>167651.79975</v>
      </c>
      <c r="J58" s="36">
        <f>124378.2745+23295.93953+9872.98572-10000</f>
        <v>147547.19975</v>
      </c>
      <c r="K58" s="36">
        <v>10052.3</v>
      </c>
      <c r="L58" s="36">
        <v>10052.3</v>
      </c>
      <c r="M58" s="32"/>
      <c r="N58" s="32"/>
    </row>
    <row r="59" spans="1:16" ht="17.25">
      <c r="A59" s="25"/>
      <c r="B59" s="19"/>
      <c r="C59" s="22"/>
      <c r="D59" s="50"/>
      <c r="E59" s="51" t="s">
        <v>52</v>
      </c>
      <c r="F59" s="19" t="s">
        <v>79</v>
      </c>
      <c r="G59" s="51" t="s">
        <v>103</v>
      </c>
      <c r="H59" s="51" t="s">
        <v>105</v>
      </c>
      <c r="I59" s="36">
        <f t="shared" si="0"/>
        <v>339587.0862</v>
      </c>
      <c r="J59" s="36">
        <f>126919.498+40000+9216.349+6109.8392+10000</f>
        <v>192245.6862</v>
      </c>
      <c r="K59" s="36">
        <f>83723-10052.3</f>
        <v>73670.7</v>
      </c>
      <c r="L59" s="36">
        <f>83723-10052.3</f>
        <v>73670.7</v>
      </c>
      <c r="M59" s="32"/>
      <c r="N59" s="58">
        <f>15000/0.8*0.2</f>
        <v>3750</v>
      </c>
      <c r="O59" s="59">
        <f>(J60-15000)/0.5*0.5</f>
        <v>83794</v>
      </c>
      <c r="P59" s="59">
        <f>O59+N59</f>
        <v>87544</v>
      </c>
    </row>
    <row r="60" spans="1:14" ht="17.25">
      <c r="A60" s="25"/>
      <c r="B60" s="19"/>
      <c r="C60" s="22"/>
      <c r="D60" s="50"/>
      <c r="E60" s="51" t="s">
        <v>52</v>
      </c>
      <c r="F60" s="19" t="s">
        <v>79</v>
      </c>
      <c r="G60" s="51" t="s">
        <v>103</v>
      </c>
      <c r="H60" s="51" t="s">
        <v>61</v>
      </c>
      <c r="I60" s="36">
        <f>SUM(J60:L60)</f>
        <v>98794</v>
      </c>
      <c r="J60" s="36">
        <v>98794</v>
      </c>
      <c r="K60" s="36">
        <v>0</v>
      </c>
      <c r="L60" s="36">
        <v>0</v>
      </c>
      <c r="M60" s="32"/>
      <c r="N60" s="32"/>
    </row>
    <row r="61" spans="1:14" ht="17.25">
      <c r="A61" s="25"/>
      <c r="B61" s="19"/>
      <c r="C61" s="22"/>
      <c r="D61" s="50"/>
      <c r="E61" s="19" t="s">
        <v>52</v>
      </c>
      <c r="F61" s="19" t="s">
        <v>79</v>
      </c>
      <c r="G61" s="19" t="s">
        <v>101</v>
      </c>
      <c r="H61" s="19" t="s">
        <v>105</v>
      </c>
      <c r="I61" s="36">
        <f t="shared" si="0"/>
        <v>9312.599999999999</v>
      </c>
      <c r="J61" s="36">
        <f>20+3084.2</f>
        <v>3104.2</v>
      </c>
      <c r="K61" s="36">
        <f>20+3084.2</f>
        <v>3104.2</v>
      </c>
      <c r="L61" s="36">
        <f>20+3084.2</f>
        <v>3104.2</v>
      </c>
      <c r="M61" s="32"/>
      <c r="N61" s="32">
        <f>7000/0.5*0.5</f>
        <v>7000</v>
      </c>
    </row>
    <row r="62" spans="1:13" s="8" customFormat="1" ht="17.25">
      <c r="A62" s="25"/>
      <c r="B62" s="19"/>
      <c r="C62" s="22"/>
      <c r="D62" s="50"/>
      <c r="E62" s="19" t="s">
        <v>52</v>
      </c>
      <c r="F62" s="19" t="s">
        <v>79</v>
      </c>
      <c r="G62" s="19" t="s">
        <v>101</v>
      </c>
      <c r="H62" s="19" t="s">
        <v>61</v>
      </c>
      <c r="I62" s="36">
        <f t="shared" si="0"/>
        <v>6300</v>
      </c>
      <c r="J62" s="36">
        <v>6300</v>
      </c>
      <c r="K62" s="36">
        <v>0</v>
      </c>
      <c r="L62" s="36">
        <v>0</v>
      </c>
      <c r="M62" s="32"/>
    </row>
    <row r="63" spans="1:13" s="8" customFormat="1" ht="17.25">
      <c r="A63" s="25"/>
      <c r="B63" s="19"/>
      <c r="C63" s="22"/>
      <c r="D63" s="50"/>
      <c r="E63" s="19" t="s">
        <v>52</v>
      </c>
      <c r="F63" s="19" t="s">
        <v>79</v>
      </c>
      <c r="G63" s="19" t="s">
        <v>101</v>
      </c>
      <c r="H63" s="19" t="s">
        <v>105</v>
      </c>
      <c r="I63" s="36">
        <f t="shared" si="0"/>
        <v>700</v>
      </c>
      <c r="J63" s="36">
        <v>700</v>
      </c>
      <c r="K63" s="36"/>
      <c r="L63" s="36"/>
      <c r="M63" s="32"/>
    </row>
    <row r="64" spans="1:16" ht="17.25">
      <c r="A64" s="25"/>
      <c r="B64" s="19"/>
      <c r="C64" s="22"/>
      <c r="D64" s="50"/>
      <c r="E64" s="19" t="s">
        <v>52</v>
      </c>
      <c r="F64" s="19" t="s">
        <v>79</v>
      </c>
      <c r="G64" s="19" t="s">
        <v>106</v>
      </c>
      <c r="H64" s="19" t="s">
        <v>90</v>
      </c>
      <c r="I64" s="36">
        <f t="shared" si="0"/>
        <v>6000</v>
      </c>
      <c r="J64" s="36">
        <v>6000</v>
      </c>
      <c r="K64" s="36">
        <v>0</v>
      </c>
      <c r="L64" s="36">
        <v>0</v>
      </c>
      <c r="M64" s="32"/>
      <c r="N64" s="8">
        <v>2817.3</v>
      </c>
      <c r="O64" s="8">
        <f>N64/0.95*0.01</f>
        <v>29.655789473684212</v>
      </c>
      <c r="P64" s="8">
        <v>150</v>
      </c>
    </row>
    <row r="65" spans="1:16" ht="17.25">
      <c r="A65" s="25"/>
      <c r="B65" s="19"/>
      <c r="C65" s="22"/>
      <c r="D65" s="50"/>
      <c r="E65" s="19" t="s">
        <v>52</v>
      </c>
      <c r="F65" s="19" t="s">
        <v>79</v>
      </c>
      <c r="G65" s="19" t="s">
        <v>107</v>
      </c>
      <c r="H65" s="19" t="s">
        <v>61</v>
      </c>
      <c r="I65" s="36">
        <f t="shared" si="0"/>
        <v>9255.6</v>
      </c>
      <c r="J65" s="36">
        <f>6438.3+2817.3</f>
        <v>9255.6</v>
      </c>
      <c r="K65" s="36">
        <v>0</v>
      </c>
      <c r="L65" s="36">
        <v>0</v>
      </c>
      <c r="M65" s="32"/>
      <c r="N65" s="33">
        <f>J65-N64</f>
        <v>6438.3</v>
      </c>
      <c r="O65" s="52">
        <f>N65</f>
        <v>6438.3</v>
      </c>
      <c r="P65" s="53">
        <v>6440</v>
      </c>
    </row>
    <row r="66" spans="1:19" s="53" customFormat="1" ht="17.25" customHeight="1">
      <c r="A66" s="25" t="s">
        <v>108</v>
      </c>
      <c r="B66" s="19" t="s">
        <v>109</v>
      </c>
      <c r="C66" s="49" t="s">
        <v>110</v>
      </c>
      <c r="D66" s="46"/>
      <c r="E66" s="19"/>
      <c r="F66" s="19"/>
      <c r="G66" s="19"/>
      <c r="H66" s="19"/>
      <c r="I66" s="36">
        <f t="shared" si="0"/>
        <v>76243.12088999999</v>
      </c>
      <c r="J66" s="36">
        <f>J67+J68</f>
        <v>23336.10367</v>
      </c>
      <c r="K66" s="36">
        <f>K67+K68</f>
        <v>26419.14661</v>
      </c>
      <c r="L66" s="36">
        <f>L67+L68</f>
        <v>26487.870609999998</v>
      </c>
      <c r="M66" s="32"/>
      <c r="N66" s="53">
        <v>23336.10367</v>
      </c>
      <c r="O66" s="53">
        <v>26419.14661</v>
      </c>
      <c r="P66" s="53">
        <v>26487.87061</v>
      </c>
      <c r="Q66" s="52">
        <f>N66-J66</f>
        <v>0</v>
      </c>
      <c r="R66" s="52">
        <f>O66-K66</f>
        <v>0</v>
      </c>
      <c r="S66" s="52">
        <f>P66-L66</f>
        <v>0</v>
      </c>
    </row>
    <row r="67" spans="1:14" s="53" customFormat="1" ht="17.25" customHeight="1">
      <c r="A67" s="25"/>
      <c r="B67" s="19"/>
      <c r="C67" s="49"/>
      <c r="D67" s="50" t="s">
        <v>27</v>
      </c>
      <c r="E67" s="19" t="s">
        <v>52</v>
      </c>
      <c r="F67" s="19" t="s">
        <v>45</v>
      </c>
      <c r="G67" s="19" t="s">
        <v>101</v>
      </c>
      <c r="H67" s="19" t="s">
        <v>53</v>
      </c>
      <c r="I67" s="36">
        <f t="shared" si="0"/>
        <v>480</v>
      </c>
      <c r="J67" s="36">
        <f>60+100</f>
        <v>160</v>
      </c>
      <c r="K67" s="36">
        <f>60+100</f>
        <v>160</v>
      </c>
      <c r="L67" s="36">
        <f>60+100</f>
        <v>160</v>
      </c>
      <c r="M67" s="32"/>
      <c r="N67" s="32"/>
    </row>
    <row r="68" spans="1:14" ht="17.25">
      <c r="A68" s="25"/>
      <c r="B68" s="19"/>
      <c r="C68" s="49"/>
      <c r="D68" s="50"/>
      <c r="E68" s="19" t="s">
        <v>52</v>
      </c>
      <c r="F68" s="19" t="s">
        <v>45</v>
      </c>
      <c r="G68" s="19" t="s">
        <v>102</v>
      </c>
      <c r="H68" s="19" t="s">
        <v>89</v>
      </c>
      <c r="I68" s="36">
        <f t="shared" si="0"/>
        <v>75763.12088999999</v>
      </c>
      <c r="J68" s="36">
        <v>23176.10367</v>
      </c>
      <c r="K68" s="36">
        <v>26259.14661</v>
      </c>
      <c r="L68" s="36">
        <v>26327.870609999998</v>
      </c>
      <c r="M68" s="32"/>
      <c r="N68" s="32"/>
    </row>
    <row r="69" spans="1:19" ht="41.25">
      <c r="A69" s="25" t="s">
        <v>111</v>
      </c>
      <c r="B69" s="51" t="s">
        <v>112</v>
      </c>
      <c r="C69" s="60" t="s">
        <v>113</v>
      </c>
      <c r="D69" s="38" t="s">
        <v>27</v>
      </c>
      <c r="E69" s="19" t="s">
        <v>52</v>
      </c>
      <c r="F69" s="19" t="s">
        <v>79</v>
      </c>
      <c r="G69" s="19" t="s">
        <v>114</v>
      </c>
      <c r="H69" s="19" t="s">
        <v>115</v>
      </c>
      <c r="I69" s="36">
        <f t="shared" si="0"/>
        <v>1207970.6</v>
      </c>
      <c r="J69" s="36">
        <v>376122.6</v>
      </c>
      <c r="K69" s="36">
        <v>403134.6</v>
      </c>
      <c r="L69" s="36">
        <v>428713.4</v>
      </c>
      <c r="N69" s="7">
        <v>376122.6</v>
      </c>
      <c r="O69" s="8">
        <v>403134.6</v>
      </c>
      <c r="P69" s="8">
        <v>428713.4</v>
      </c>
      <c r="Q69" s="52">
        <f>N69-J69</f>
        <v>0</v>
      </c>
      <c r="R69" s="52">
        <f>O69-K69</f>
        <v>0</v>
      </c>
      <c r="S69" s="52">
        <f>P69-L69</f>
        <v>0</v>
      </c>
    </row>
    <row r="70" spans="1:14" s="53" customFormat="1" ht="31.5">
      <c r="A70" s="25" t="s">
        <v>116</v>
      </c>
      <c r="B70" s="61" t="s">
        <v>34</v>
      </c>
      <c r="C70" s="45" t="s">
        <v>117</v>
      </c>
      <c r="D70" s="46"/>
      <c r="E70" s="26"/>
      <c r="F70" s="26"/>
      <c r="G70" s="26"/>
      <c r="H70" s="26"/>
      <c r="I70" s="30"/>
      <c r="J70" s="30"/>
      <c r="K70" s="30"/>
      <c r="L70" s="30"/>
      <c r="M70" s="7"/>
      <c r="N70" s="7"/>
    </row>
    <row r="71" spans="1:19" ht="17.25" customHeight="1">
      <c r="A71" s="25" t="s">
        <v>118</v>
      </c>
      <c r="B71" s="19" t="s">
        <v>119</v>
      </c>
      <c r="C71" s="60" t="s">
        <v>120</v>
      </c>
      <c r="D71" s="62"/>
      <c r="E71" s="19"/>
      <c r="F71" s="19"/>
      <c r="G71" s="19"/>
      <c r="H71" s="19"/>
      <c r="I71" s="36">
        <f t="shared" si="0"/>
        <v>21950</v>
      </c>
      <c r="J71" s="36">
        <f>SUM(J72:J73)</f>
        <v>14650</v>
      </c>
      <c r="K71" s="36">
        <f>SUM(K72:K73)</f>
        <v>3650</v>
      </c>
      <c r="L71" s="36">
        <f>SUM(L72:L73)</f>
        <v>3650</v>
      </c>
      <c r="M71" s="32"/>
      <c r="N71" s="32">
        <v>14650</v>
      </c>
      <c r="O71" s="8">
        <v>3650</v>
      </c>
      <c r="P71" s="8">
        <v>3650</v>
      </c>
      <c r="Q71" s="52">
        <f>N71-J71</f>
        <v>0</v>
      </c>
      <c r="R71" s="52">
        <f>O71-K71</f>
        <v>0</v>
      </c>
      <c r="S71" s="52">
        <f>P71-L71</f>
        <v>0</v>
      </c>
    </row>
    <row r="72" spans="1:14" ht="17.25" customHeight="1">
      <c r="A72" s="25"/>
      <c r="B72" s="19"/>
      <c r="C72" s="60"/>
      <c r="D72" s="50" t="s">
        <v>27</v>
      </c>
      <c r="E72" s="19">
        <v>875</v>
      </c>
      <c r="F72" s="19" t="s">
        <v>79</v>
      </c>
      <c r="G72" s="19" t="s">
        <v>121</v>
      </c>
      <c r="H72" s="19" t="s">
        <v>104</v>
      </c>
      <c r="I72" s="36">
        <f t="shared" si="0"/>
        <v>3000</v>
      </c>
      <c r="J72" s="36">
        <v>1000</v>
      </c>
      <c r="K72" s="36">
        <v>1000</v>
      </c>
      <c r="L72" s="36">
        <v>1000</v>
      </c>
      <c r="M72" s="32"/>
      <c r="N72" s="32"/>
    </row>
    <row r="73" spans="1:14" ht="13.5" customHeight="1">
      <c r="A73" s="25"/>
      <c r="B73" s="19"/>
      <c r="C73" s="60"/>
      <c r="D73" s="50"/>
      <c r="E73" s="19">
        <v>875</v>
      </c>
      <c r="F73" s="19" t="s">
        <v>45</v>
      </c>
      <c r="G73" s="19" t="s">
        <v>121</v>
      </c>
      <c r="H73" s="19" t="s">
        <v>105</v>
      </c>
      <c r="I73" s="36">
        <f t="shared" si="0"/>
        <v>18950</v>
      </c>
      <c r="J73" s="36">
        <v>13650</v>
      </c>
      <c r="K73" s="36">
        <v>2650</v>
      </c>
      <c r="L73" s="36">
        <v>2650</v>
      </c>
      <c r="M73" s="32"/>
      <c r="N73" s="32"/>
    </row>
    <row r="74" spans="1:19" ht="42.75" customHeight="1">
      <c r="A74" s="25" t="s">
        <v>122</v>
      </c>
      <c r="B74" s="63" t="s">
        <v>123</v>
      </c>
      <c r="C74" s="49" t="s">
        <v>124</v>
      </c>
      <c r="D74" s="38" t="s">
        <v>27</v>
      </c>
      <c r="E74" s="19" t="s">
        <v>52</v>
      </c>
      <c r="F74" s="19" t="s">
        <v>45</v>
      </c>
      <c r="G74" s="19" t="s">
        <v>121</v>
      </c>
      <c r="H74" s="19" t="s">
        <v>53</v>
      </c>
      <c r="I74" s="36">
        <f t="shared" si="0"/>
        <v>1380</v>
      </c>
      <c r="J74" s="36">
        <f>40+200+20+100+0+200</f>
        <v>560</v>
      </c>
      <c r="K74" s="36">
        <f>40+200+20+100+100</f>
        <v>460</v>
      </c>
      <c r="L74" s="36">
        <f>40+200+20+100+0</f>
        <v>360</v>
      </c>
      <c r="N74" s="7">
        <v>560</v>
      </c>
      <c r="O74" s="8">
        <v>460</v>
      </c>
      <c r="P74" s="8">
        <v>360</v>
      </c>
      <c r="Q74" s="52">
        <f>N74-J74</f>
        <v>0</v>
      </c>
      <c r="R74" s="52">
        <f>O74-K74</f>
        <v>0</v>
      </c>
      <c r="S74" s="52">
        <f>P74-L74</f>
        <v>0</v>
      </c>
    </row>
    <row r="75" spans="1:14" s="53" customFormat="1" ht="30.75" customHeight="1">
      <c r="A75" s="25" t="s">
        <v>125</v>
      </c>
      <c r="B75" s="26" t="s">
        <v>34</v>
      </c>
      <c r="C75" s="45" t="s">
        <v>126</v>
      </c>
      <c r="D75" s="46"/>
      <c r="E75" s="26"/>
      <c r="F75" s="26"/>
      <c r="G75" s="26"/>
      <c r="H75" s="26"/>
      <c r="I75" s="30"/>
      <c r="J75" s="30"/>
      <c r="K75" s="30"/>
      <c r="L75" s="30"/>
      <c r="M75" s="7"/>
      <c r="N75" s="7"/>
    </row>
    <row r="76" spans="1:19" ht="17.25" customHeight="1">
      <c r="A76" s="25" t="s">
        <v>127</v>
      </c>
      <c r="B76" s="19" t="s">
        <v>128</v>
      </c>
      <c r="C76" s="60" t="s">
        <v>129</v>
      </c>
      <c r="D76" s="64"/>
      <c r="E76" s="19"/>
      <c r="F76" s="19"/>
      <c r="G76" s="19"/>
      <c r="H76" s="19"/>
      <c r="I76" s="36">
        <f t="shared" si="0"/>
        <v>37429.68006</v>
      </c>
      <c r="J76" s="36">
        <f>J77+J78</f>
        <v>11637.745599999998</v>
      </c>
      <c r="K76" s="36">
        <f>K77+K78</f>
        <v>12899.422480000001</v>
      </c>
      <c r="L76" s="36">
        <f>L77+L78</f>
        <v>12892.51198</v>
      </c>
      <c r="M76" s="32"/>
      <c r="N76" s="32">
        <v>11637.745599999998</v>
      </c>
      <c r="O76" s="8">
        <v>12899.422480000001</v>
      </c>
      <c r="P76" s="8">
        <v>12892.51198</v>
      </c>
      <c r="Q76" s="52">
        <f>N76-J76</f>
        <v>0</v>
      </c>
      <c r="R76" s="52">
        <f>O76-K76</f>
        <v>0</v>
      </c>
      <c r="S76" s="52">
        <f>P76-L76</f>
        <v>0</v>
      </c>
    </row>
    <row r="77" spans="1:14" ht="18" customHeight="1">
      <c r="A77" s="25"/>
      <c r="B77" s="19"/>
      <c r="C77" s="60"/>
      <c r="D77" s="50" t="s">
        <v>27</v>
      </c>
      <c r="E77" s="19" t="s">
        <v>52</v>
      </c>
      <c r="F77" s="19" t="s">
        <v>45</v>
      </c>
      <c r="G77" s="19" t="s">
        <v>102</v>
      </c>
      <c r="H77" s="19" t="s">
        <v>87</v>
      </c>
      <c r="I77" s="36">
        <f t="shared" si="0"/>
        <v>22009.68006</v>
      </c>
      <c r="J77" s="36">
        <v>6642.745599999999</v>
      </c>
      <c r="K77" s="36">
        <v>7669.42248</v>
      </c>
      <c r="L77" s="36">
        <v>7697.51198</v>
      </c>
      <c r="M77" s="32"/>
      <c r="N77" s="32"/>
    </row>
    <row r="78" spans="1:14" ht="21" customHeight="1">
      <c r="A78" s="25"/>
      <c r="B78" s="19"/>
      <c r="C78" s="60"/>
      <c r="D78" s="50"/>
      <c r="E78" s="19" t="s">
        <v>52</v>
      </c>
      <c r="F78" s="19" t="s">
        <v>45</v>
      </c>
      <c r="G78" s="19" t="s">
        <v>101</v>
      </c>
      <c r="H78" s="19" t="s">
        <v>53</v>
      </c>
      <c r="I78" s="36">
        <f t="shared" si="0"/>
        <v>15420</v>
      </c>
      <c r="J78" s="36">
        <f>5000+195-200</f>
        <v>4995</v>
      </c>
      <c r="K78" s="36">
        <f>5000+230</f>
        <v>5230</v>
      </c>
      <c r="L78" s="36">
        <f>5000+195</f>
        <v>5195</v>
      </c>
      <c r="M78" s="32"/>
      <c r="N78" s="65"/>
    </row>
    <row r="79" spans="1:19" ht="17.25" customHeight="1">
      <c r="A79" s="25" t="s">
        <v>130</v>
      </c>
      <c r="B79" s="19" t="s">
        <v>131</v>
      </c>
      <c r="C79" s="60" t="s">
        <v>132</v>
      </c>
      <c r="D79" s="50"/>
      <c r="E79" s="19"/>
      <c r="F79" s="19"/>
      <c r="G79" s="19"/>
      <c r="H79" s="19"/>
      <c r="I79" s="36">
        <f t="shared" si="0"/>
        <v>16926.6</v>
      </c>
      <c r="J79" s="36">
        <f>SUM(J80:J87)</f>
        <v>9932.2</v>
      </c>
      <c r="K79" s="36">
        <f>SUM(K80:K87)</f>
        <v>3497.2</v>
      </c>
      <c r="L79" s="36">
        <f>SUM(L80:L87)</f>
        <v>3497.2</v>
      </c>
      <c r="M79" s="32"/>
      <c r="N79" s="32">
        <v>9932.2</v>
      </c>
      <c r="O79" s="8">
        <v>3497.2</v>
      </c>
      <c r="P79" s="8">
        <v>3497.2</v>
      </c>
      <c r="Q79" s="52">
        <f>N79-J79</f>
        <v>0</v>
      </c>
      <c r="R79" s="52">
        <f>O79-K79</f>
        <v>0</v>
      </c>
      <c r="S79" s="52">
        <f>P79-L79</f>
        <v>0</v>
      </c>
    </row>
    <row r="80" spans="1:19" ht="17.25" customHeight="1">
      <c r="A80" s="25"/>
      <c r="B80" s="19"/>
      <c r="C80" s="60"/>
      <c r="D80" s="50" t="s">
        <v>27</v>
      </c>
      <c r="E80" s="19" t="s">
        <v>52</v>
      </c>
      <c r="F80" s="19" t="s">
        <v>45</v>
      </c>
      <c r="G80" s="19" t="s">
        <v>133</v>
      </c>
      <c r="H80" s="19" t="s">
        <v>104</v>
      </c>
      <c r="I80" s="36">
        <f aca="true" t="shared" si="1" ref="I80:I149">SUM(J80:L80)</f>
        <v>18.27</v>
      </c>
      <c r="J80" s="36">
        <v>18.27</v>
      </c>
      <c r="K80" s="36"/>
      <c r="L80" s="36"/>
      <c r="M80" s="32"/>
      <c r="N80" s="32"/>
      <c r="Q80" s="52"/>
      <c r="R80" s="52"/>
      <c r="S80" s="52"/>
    </row>
    <row r="81" spans="1:14" ht="17.25" customHeight="1">
      <c r="A81" s="25"/>
      <c r="B81" s="19"/>
      <c r="C81" s="60"/>
      <c r="D81" s="50"/>
      <c r="E81" s="19" t="s">
        <v>52</v>
      </c>
      <c r="F81" s="19" t="s">
        <v>45</v>
      </c>
      <c r="G81" s="19" t="s">
        <v>133</v>
      </c>
      <c r="H81" s="19" t="s">
        <v>105</v>
      </c>
      <c r="I81" s="36">
        <f t="shared" si="1"/>
        <v>1055.73</v>
      </c>
      <c r="J81" s="36">
        <f>231+127-18.27</f>
        <v>339.73</v>
      </c>
      <c r="K81" s="36">
        <f>231+127</f>
        <v>358</v>
      </c>
      <c r="L81" s="36">
        <f>231+127</f>
        <v>358</v>
      </c>
      <c r="M81" s="32"/>
      <c r="N81" s="32"/>
    </row>
    <row r="82" spans="1:14" ht="17.25" customHeight="1">
      <c r="A82" s="25"/>
      <c r="B82" s="19"/>
      <c r="C82" s="60"/>
      <c r="D82" s="50"/>
      <c r="E82" s="19" t="s">
        <v>52</v>
      </c>
      <c r="F82" s="19" t="s">
        <v>79</v>
      </c>
      <c r="G82" s="19" t="s">
        <v>103</v>
      </c>
      <c r="H82" s="19" t="s">
        <v>105</v>
      </c>
      <c r="I82" s="36">
        <f t="shared" si="1"/>
        <v>1000</v>
      </c>
      <c r="J82" s="36">
        <v>1000</v>
      </c>
      <c r="K82" s="36"/>
      <c r="L82" s="36"/>
      <c r="M82" s="32"/>
      <c r="N82" s="32"/>
    </row>
    <row r="83" spans="1:14" ht="17.25" customHeight="1">
      <c r="A83" s="25"/>
      <c r="B83" s="19"/>
      <c r="C83" s="60"/>
      <c r="D83" s="50"/>
      <c r="E83" s="19" t="s">
        <v>52</v>
      </c>
      <c r="F83" s="19" t="s">
        <v>79</v>
      </c>
      <c r="G83" s="19" t="s">
        <v>103</v>
      </c>
      <c r="H83" s="19" t="s">
        <v>53</v>
      </c>
      <c r="I83" s="36">
        <f t="shared" si="1"/>
        <v>4000</v>
      </c>
      <c r="J83" s="36">
        <v>4000</v>
      </c>
      <c r="K83" s="36"/>
      <c r="L83" s="36"/>
      <c r="M83" s="32"/>
      <c r="N83" s="32"/>
    </row>
    <row r="84" spans="1:14" ht="17.25">
      <c r="A84" s="25"/>
      <c r="B84" s="19"/>
      <c r="C84" s="60"/>
      <c r="D84" s="50"/>
      <c r="E84" s="19" t="s">
        <v>52</v>
      </c>
      <c r="F84" s="19" t="s">
        <v>45</v>
      </c>
      <c r="G84" s="19" t="s">
        <v>134</v>
      </c>
      <c r="H84" s="19" t="s">
        <v>105</v>
      </c>
      <c r="I84" s="36">
        <f t="shared" si="1"/>
        <v>7500</v>
      </c>
      <c r="J84" s="36">
        <v>2500</v>
      </c>
      <c r="K84" s="36">
        <v>2500</v>
      </c>
      <c r="L84" s="36">
        <v>2500</v>
      </c>
      <c r="M84" s="32"/>
      <c r="N84" s="32"/>
    </row>
    <row r="85" spans="1:14" ht="17.25">
      <c r="A85" s="25"/>
      <c r="B85" s="19"/>
      <c r="C85" s="60"/>
      <c r="D85" s="50"/>
      <c r="E85" s="19" t="s">
        <v>52</v>
      </c>
      <c r="F85" s="19" t="s">
        <v>45</v>
      </c>
      <c r="G85" s="19" t="s">
        <v>101</v>
      </c>
      <c r="H85" s="19" t="s">
        <v>53</v>
      </c>
      <c r="I85" s="36">
        <f t="shared" si="1"/>
        <v>549</v>
      </c>
      <c r="J85" s="36">
        <f>183</f>
        <v>183</v>
      </c>
      <c r="K85" s="36">
        <f>183</f>
        <v>183</v>
      </c>
      <c r="L85" s="36">
        <f>183</f>
        <v>183</v>
      </c>
      <c r="M85" s="32"/>
      <c r="N85" s="32"/>
    </row>
    <row r="86" spans="1:14" ht="17.25">
      <c r="A86" s="25"/>
      <c r="B86" s="19"/>
      <c r="C86" s="60"/>
      <c r="D86" s="50"/>
      <c r="E86" s="19" t="s">
        <v>52</v>
      </c>
      <c r="F86" s="19" t="s">
        <v>45</v>
      </c>
      <c r="G86" s="19" t="s">
        <v>133</v>
      </c>
      <c r="H86" s="19" t="s">
        <v>53</v>
      </c>
      <c r="I86" s="36">
        <f t="shared" si="1"/>
        <v>1403.6</v>
      </c>
      <c r="J86" s="36">
        <f>135+66.2+290</f>
        <v>491.2</v>
      </c>
      <c r="K86" s="36">
        <f>100+66.2+290</f>
        <v>456.2</v>
      </c>
      <c r="L86" s="36">
        <f>100+66.2+290</f>
        <v>456.2</v>
      </c>
      <c r="M86" s="32"/>
      <c r="N86" s="32"/>
    </row>
    <row r="87" spans="1:14" ht="17.25">
      <c r="A87" s="25"/>
      <c r="B87" s="19"/>
      <c r="C87" s="60"/>
      <c r="D87" s="50"/>
      <c r="E87" s="19" t="s">
        <v>52</v>
      </c>
      <c r="F87" s="19" t="s">
        <v>79</v>
      </c>
      <c r="G87" s="19" t="s">
        <v>135</v>
      </c>
      <c r="H87" s="19" t="s">
        <v>105</v>
      </c>
      <c r="I87" s="36">
        <f t="shared" si="1"/>
        <v>1400</v>
      </c>
      <c r="J87" s="36">
        <v>1400</v>
      </c>
      <c r="K87" s="36"/>
      <c r="L87" s="36"/>
      <c r="M87" s="32"/>
      <c r="N87" s="32"/>
    </row>
    <row r="88" spans="1:12" ht="60" customHeight="1">
      <c r="A88" s="25" t="s">
        <v>136</v>
      </c>
      <c r="B88" s="19" t="s">
        <v>137</v>
      </c>
      <c r="C88" s="60" t="s">
        <v>138</v>
      </c>
      <c r="D88" s="66" t="s">
        <v>27</v>
      </c>
      <c r="E88" s="19" t="s">
        <v>52</v>
      </c>
      <c r="F88" s="19" t="s">
        <v>45</v>
      </c>
      <c r="G88" s="19" t="s">
        <v>139</v>
      </c>
      <c r="H88" s="19" t="s">
        <v>140</v>
      </c>
      <c r="I88" s="36">
        <f t="shared" si="1"/>
        <v>414</v>
      </c>
      <c r="J88" s="36">
        <f>138</f>
        <v>138</v>
      </c>
      <c r="K88" s="36">
        <v>138</v>
      </c>
      <c r="L88" s="36">
        <v>138</v>
      </c>
    </row>
    <row r="89" spans="1:15" s="35" customFormat="1" ht="32.25" customHeight="1">
      <c r="A89" s="25" t="s">
        <v>141</v>
      </c>
      <c r="B89" s="26" t="s">
        <v>142</v>
      </c>
      <c r="C89" s="27" t="s">
        <v>143</v>
      </c>
      <c r="D89" s="28" t="s">
        <v>18</v>
      </c>
      <c r="E89" s="29"/>
      <c r="F89" s="19"/>
      <c r="G89" s="19"/>
      <c r="H89" s="29"/>
      <c r="I89" s="30">
        <f t="shared" si="1"/>
        <v>6955865.86603</v>
      </c>
      <c r="J89" s="30">
        <f>SUM(J91:J92)</f>
        <v>2248896.0792400003</v>
      </c>
      <c r="K89" s="30">
        <f>SUM(K91:K92)</f>
        <v>2348086.7298799995</v>
      </c>
      <c r="L89" s="30">
        <f>SUM(L91:L92)</f>
        <v>2358883.05691</v>
      </c>
      <c r="M89" s="32"/>
      <c r="N89" s="32">
        <v>2248896.0792400003</v>
      </c>
      <c r="O89" s="34">
        <f>N89-J89</f>
        <v>0</v>
      </c>
    </row>
    <row r="90" spans="1:14" s="35" customFormat="1" ht="52.5" customHeight="1">
      <c r="A90" s="25"/>
      <c r="B90" s="26"/>
      <c r="C90" s="27"/>
      <c r="D90" s="28" t="s">
        <v>19</v>
      </c>
      <c r="E90" s="29"/>
      <c r="F90" s="19"/>
      <c r="G90" s="19"/>
      <c r="H90" s="29"/>
      <c r="I90" s="67"/>
      <c r="J90" s="67"/>
      <c r="K90" s="67"/>
      <c r="L90" s="36"/>
      <c r="M90" s="32"/>
      <c r="N90" s="32"/>
    </row>
    <row r="91" spans="1:14" s="35" customFormat="1" ht="31.5" customHeight="1">
      <c r="A91" s="25"/>
      <c r="B91" s="26"/>
      <c r="C91" s="27"/>
      <c r="D91" s="38" t="s">
        <v>25</v>
      </c>
      <c r="E91" s="29">
        <v>856</v>
      </c>
      <c r="F91" s="19"/>
      <c r="G91" s="19"/>
      <c r="H91" s="29"/>
      <c r="I91" s="36">
        <f t="shared" si="1"/>
        <v>439376.8</v>
      </c>
      <c r="J91" s="36">
        <f>J99+J110+J115+J122</f>
        <v>145900.3</v>
      </c>
      <c r="K91" s="36">
        <f>K99+K110+K115+K122</f>
        <v>145966.69999999998</v>
      </c>
      <c r="L91" s="36">
        <f>L99+L110+L115+L122</f>
        <v>147509.8</v>
      </c>
      <c r="M91" s="32"/>
      <c r="N91" s="32"/>
    </row>
    <row r="92" spans="1:14" s="35" customFormat="1" ht="31.5">
      <c r="A92" s="25"/>
      <c r="B92" s="26"/>
      <c r="C92" s="27"/>
      <c r="D92" s="38" t="s">
        <v>27</v>
      </c>
      <c r="E92" s="29">
        <v>875</v>
      </c>
      <c r="F92" s="19"/>
      <c r="G92" s="19"/>
      <c r="H92" s="29"/>
      <c r="I92" s="36">
        <f t="shared" si="1"/>
        <v>6516489.066029999</v>
      </c>
      <c r="J92" s="36">
        <f>J95+J107+J114+J117+J118+J119+J121+J124+J126+J127+J130+J131-J91</f>
        <v>2102995.7792400005</v>
      </c>
      <c r="K92" s="36">
        <f>K95+K107+K114+K117+K118+K121+K124+K126+K127+K130+K131-K91</f>
        <v>2202120.0298799993</v>
      </c>
      <c r="L92" s="36">
        <f>L95+L107+L114+L117+L118+L121+L124+L126+L127+L130+L131-L91</f>
        <v>2211373.25691</v>
      </c>
      <c r="M92" s="32"/>
      <c r="N92" s="32"/>
    </row>
    <row r="93" spans="1:14" s="35" customFormat="1" ht="31.5">
      <c r="A93" s="25" t="s">
        <v>144</v>
      </c>
      <c r="B93" s="19" t="s">
        <v>32</v>
      </c>
      <c r="C93" s="27"/>
      <c r="D93" s="38"/>
      <c r="E93" s="29"/>
      <c r="F93" s="19"/>
      <c r="G93" s="19"/>
      <c r="H93" s="29"/>
      <c r="I93" s="36"/>
      <c r="J93" s="36"/>
      <c r="K93" s="36"/>
      <c r="L93" s="36"/>
      <c r="M93" s="7"/>
      <c r="N93" s="7"/>
    </row>
    <row r="94" spans="1:14" s="35" customFormat="1" ht="33" customHeight="1">
      <c r="A94" s="25" t="s">
        <v>145</v>
      </c>
      <c r="B94" s="61" t="s">
        <v>34</v>
      </c>
      <c r="C94" s="27" t="s">
        <v>146</v>
      </c>
      <c r="D94" s="28"/>
      <c r="E94" s="47"/>
      <c r="F94" s="26"/>
      <c r="G94" s="26"/>
      <c r="H94" s="47"/>
      <c r="I94" s="30"/>
      <c r="J94" s="30"/>
      <c r="K94" s="30"/>
      <c r="L94" s="30"/>
      <c r="M94" s="7"/>
      <c r="N94" s="7"/>
    </row>
    <row r="95" spans="1:14" s="35" customFormat="1" ht="15.75" customHeight="1">
      <c r="A95" s="25" t="s">
        <v>147</v>
      </c>
      <c r="B95" s="19" t="s">
        <v>148</v>
      </c>
      <c r="C95" s="49" t="s">
        <v>149</v>
      </c>
      <c r="D95" s="38"/>
      <c r="E95" s="29"/>
      <c r="F95" s="19"/>
      <c r="G95" s="19"/>
      <c r="H95" s="29"/>
      <c r="I95" s="36">
        <f t="shared" si="1"/>
        <v>6842315.33603</v>
      </c>
      <c r="J95" s="36">
        <f>SUM(J96:J106)</f>
        <v>2189163.64924</v>
      </c>
      <c r="K95" s="36">
        <f>SUM(K96:K106)</f>
        <v>2323854.4298799997</v>
      </c>
      <c r="L95" s="36">
        <f>SUM(L96:L106)</f>
        <v>2329297.25691</v>
      </c>
      <c r="M95" s="32"/>
      <c r="N95" s="32"/>
    </row>
    <row r="96" spans="1:14" s="35" customFormat="1" ht="17.25" customHeight="1">
      <c r="A96" s="25"/>
      <c r="B96" s="19"/>
      <c r="C96" s="49"/>
      <c r="D96" s="50" t="s">
        <v>27</v>
      </c>
      <c r="E96" s="29">
        <v>875</v>
      </c>
      <c r="F96" s="19" t="s">
        <v>150</v>
      </c>
      <c r="G96" s="19" t="s">
        <v>151</v>
      </c>
      <c r="H96" s="29">
        <v>244</v>
      </c>
      <c r="I96" s="36">
        <f t="shared" si="1"/>
        <v>370000</v>
      </c>
      <c r="J96" s="36">
        <v>120000</v>
      </c>
      <c r="K96" s="36">
        <v>120000</v>
      </c>
      <c r="L96" s="36">
        <v>130000</v>
      </c>
      <c r="M96" s="32"/>
      <c r="N96" s="32"/>
    </row>
    <row r="97" spans="1:14" s="35" customFormat="1" ht="15.75" customHeight="1">
      <c r="A97" s="25"/>
      <c r="B97" s="19"/>
      <c r="C97" s="49"/>
      <c r="D97" s="50"/>
      <c r="E97" s="29">
        <v>875</v>
      </c>
      <c r="F97" s="19" t="s">
        <v>150</v>
      </c>
      <c r="G97" s="19" t="s">
        <v>152</v>
      </c>
      <c r="H97" s="29">
        <v>611</v>
      </c>
      <c r="I97" s="36">
        <f t="shared" si="1"/>
        <v>342565.12407</v>
      </c>
      <c r="J97" s="36">
        <v>117512.60675</v>
      </c>
      <c r="K97" s="36">
        <v>113620.69695999999</v>
      </c>
      <c r="L97" s="36">
        <v>111431.82036</v>
      </c>
      <c r="M97" s="32"/>
      <c r="N97" s="32"/>
    </row>
    <row r="98" spans="1:16" s="35" customFormat="1" ht="17.25">
      <c r="A98" s="25"/>
      <c r="B98" s="19"/>
      <c r="C98" s="49"/>
      <c r="D98" s="50"/>
      <c r="E98" s="29">
        <v>875</v>
      </c>
      <c r="F98" s="19" t="s">
        <v>150</v>
      </c>
      <c r="G98" s="19" t="s">
        <v>152</v>
      </c>
      <c r="H98" s="29">
        <v>621</v>
      </c>
      <c r="I98" s="36">
        <f t="shared" si="1"/>
        <v>1652376.0949</v>
      </c>
      <c r="J98" s="36">
        <v>547581.0596599999</v>
      </c>
      <c r="K98" s="36">
        <v>559064.70964</v>
      </c>
      <c r="L98" s="36">
        <v>545730.3256</v>
      </c>
      <c r="M98" s="32"/>
      <c r="N98" s="32"/>
      <c r="O98" s="34"/>
      <c r="P98" s="34"/>
    </row>
    <row r="99" spans="1:14" ht="31.5">
      <c r="A99" s="25"/>
      <c r="B99" s="19"/>
      <c r="C99" s="49"/>
      <c r="D99" s="38" t="s">
        <v>25</v>
      </c>
      <c r="E99" s="29">
        <v>856</v>
      </c>
      <c r="F99" s="19" t="s">
        <v>153</v>
      </c>
      <c r="G99" s="19" t="s">
        <v>154</v>
      </c>
      <c r="H99" s="29">
        <v>611</v>
      </c>
      <c r="I99" s="36">
        <f t="shared" si="1"/>
        <v>429399.2</v>
      </c>
      <c r="J99" s="36">
        <v>142012</v>
      </c>
      <c r="K99" s="36">
        <v>143120</v>
      </c>
      <c r="L99" s="36">
        <v>144267.2</v>
      </c>
      <c r="M99" s="32"/>
      <c r="N99" s="32"/>
    </row>
    <row r="100" spans="1:14" s="35" customFormat="1" ht="15.75" customHeight="1">
      <c r="A100" s="25"/>
      <c r="B100" s="19"/>
      <c r="C100" s="49"/>
      <c r="D100" s="50" t="s">
        <v>27</v>
      </c>
      <c r="E100" s="29">
        <v>875</v>
      </c>
      <c r="F100" s="19" t="s">
        <v>153</v>
      </c>
      <c r="G100" s="19" t="s">
        <v>154</v>
      </c>
      <c r="H100" s="29">
        <v>611</v>
      </c>
      <c r="I100" s="36">
        <f t="shared" si="1"/>
        <v>461558.12788</v>
      </c>
      <c r="J100" s="36">
        <v>157985.30277</v>
      </c>
      <c r="K100" s="36">
        <v>153479.81253</v>
      </c>
      <c r="L100" s="36">
        <v>150093.01258</v>
      </c>
      <c r="M100" s="32"/>
      <c r="N100" s="32"/>
    </row>
    <row r="101" spans="1:15" s="35" customFormat="1" ht="15.75" customHeight="1">
      <c r="A101" s="25"/>
      <c r="B101" s="19"/>
      <c r="C101" s="49"/>
      <c r="D101" s="50"/>
      <c r="E101" s="29">
        <v>875</v>
      </c>
      <c r="F101" s="19" t="s">
        <v>153</v>
      </c>
      <c r="G101" s="19" t="s">
        <v>154</v>
      </c>
      <c r="H101" s="29">
        <v>621</v>
      </c>
      <c r="I101" s="36">
        <f t="shared" si="1"/>
        <v>3396411.7513099997</v>
      </c>
      <c r="J101" s="36">
        <v>1040440.70064</v>
      </c>
      <c r="K101" s="36">
        <v>1172476.20264</v>
      </c>
      <c r="L101" s="36">
        <v>1183494.84803</v>
      </c>
      <c r="M101" s="32"/>
      <c r="N101" s="32"/>
      <c r="O101" s="34"/>
    </row>
    <row r="102" spans="1:15" s="35" customFormat="1" ht="17.25">
      <c r="A102" s="25"/>
      <c r="B102" s="19"/>
      <c r="C102" s="49"/>
      <c r="D102" s="50"/>
      <c r="E102" s="29">
        <v>875</v>
      </c>
      <c r="F102" s="19" t="s">
        <v>155</v>
      </c>
      <c r="G102" s="19" t="s">
        <v>156</v>
      </c>
      <c r="H102" s="29">
        <v>621</v>
      </c>
      <c r="I102" s="36">
        <f t="shared" si="1"/>
        <v>21694.82547</v>
      </c>
      <c r="J102" s="36">
        <v>6694.49061</v>
      </c>
      <c r="K102" s="36">
        <v>7441.28153</v>
      </c>
      <c r="L102" s="36">
        <v>7559.05333</v>
      </c>
      <c r="M102" s="32"/>
      <c r="N102" s="32"/>
      <c r="O102" s="8"/>
    </row>
    <row r="103" spans="1:15" s="35" customFormat="1" ht="17.25">
      <c r="A103" s="25"/>
      <c r="B103" s="19"/>
      <c r="C103" s="49"/>
      <c r="D103" s="50"/>
      <c r="E103" s="29">
        <v>875</v>
      </c>
      <c r="F103" s="19" t="s">
        <v>157</v>
      </c>
      <c r="G103" s="19" t="s">
        <v>158</v>
      </c>
      <c r="H103" s="29">
        <v>621</v>
      </c>
      <c r="I103" s="36">
        <f t="shared" si="1"/>
        <v>159899.0124</v>
      </c>
      <c r="J103" s="36">
        <v>48526.28881</v>
      </c>
      <c r="K103" s="36">
        <v>54651.726579999995</v>
      </c>
      <c r="L103" s="36">
        <v>56720.99701</v>
      </c>
      <c r="M103" s="32"/>
      <c r="N103" s="32"/>
      <c r="O103" s="68"/>
    </row>
    <row r="104" spans="1:15" s="35" customFormat="1" ht="17.25">
      <c r="A104" s="25"/>
      <c r="B104" s="19"/>
      <c r="C104" s="49"/>
      <c r="D104" s="50"/>
      <c r="E104" s="29">
        <v>875</v>
      </c>
      <c r="F104" s="19" t="s">
        <v>153</v>
      </c>
      <c r="G104" s="19" t="s">
        <v>154</v>
      </c>
      <c r="H104" s="29">
        <v>622</v>
      </c>
      <c r="I104" s="36">
        <f t="shared" si="1"/>
        <v>7000</v>
      </c>
      <c r="J104" s="36">
        <v>7000</v>
      </c>
      <c r="K104" s="36">
        <v>0</v>
      </c>
      <c r="L104" s="36">
        <v>0</v>
      </c>
      <c r="M104" s="32"/>
      <c r="N104" s="32"/>
      <c r="O104" s="68"/>
    </row>
    <row r="105" spans="1:15" s="35" customFormat="1" ht="17.25">
      <c r="A105" s="25"/>
      <c r="B105" s="19"/>
      <c r="C105" s="49"/>
      <c r="D105" s="50"/>
      <c r="E105" s="29">
        <v>875</v>
      </c>
      <c r="F105" s="19" t="s">
        <v>153</v>
      </c>
      <c r="G105" s="19" t="s">
        <v>159</v>
      </c>
      <c r="H105" s="29" t="s">
        <v>90</v>
      </c>
      <c r="I105" s="36">
        <f t="shared" si="1"/>
        <v>547.2</v>
      </c>
      <c r="J105" s="36">
        <v>547.2</v>
      </c>
      <c r="K105" s="36"/>
      <c r="L105" s="36"/>
      <c r="M105" s="32"/>
      <c r="N105" s="32"/>
      <c r="O105" s="68"/>
    </row>
    <row r="106" spans="1:15" s="35" customFormat="1" ht="17.25">
      <c r="A106" s="25"/>
      <c r="B106" s="19"/>
      <c r="C106" s="49"/>
      <c r="D106" s="50"/>
      <c r="E106" s="29">
        <v>875</v>
      </c>
      <c r="F106" s="19" t="s">
        <v>153</v>
      </c>
      <c r="G106" s="19" t="s">
        <v>159</v>
      </c>
      <c r="H106" s="29" t="s">
        <v>53</v>
      </c>
      <c r="I106" s="36">
        <f t="shared" si="1"/>
        <v>864</v>
      </c>
      <c r="J106" s="36">
        <v>864</v>
      </c>
      <c r="K106" s="36"/>
      <c r="L106" s="36"/>
      <c r="M106" s="32"/>
      <c r="N106" s="33">
        <f>J106+J105</f>
        <v>1411.2</v>
      </c>
      <c r="O106" s="68"/>
    </row>
    <row r="107" spans="1:14" s="35" customFormat="1" ht="15.75" customHeight="1">
      <c r="A107" s="69" t="s">
        <v>160</v>
      </c>
      <c r="B107" s="63" t="s">
        <v>161</v>
      </c>
      <c r="C107" s="70" t="s">
        <v>162</v>
      </c>
      <c r="D107" s="71"/>
      <c r="E107" s="29"/>
      <c r="F107" s="19"/>
      <c r="G107" s="19"/>
      <c r="H107" s="29"/>
      <c r="I107" s="36">
        <f t="shared" si="1"/>
        <v>79345.53</v>
      </c>
      <c r="J107" s="36">
        <f>SUM(J108:J113)</f>
        <v>48041.43</v>
      </c>
      <c r="K107" s="36">
        <f>SUM(K108:K113)</f>
        <v>13210.3</v>
      </c>
      <c r="L107" s="36">
        <f>SUM(L108:L113)</f>
        <v>18093.8</v>
      </c>
      <c r="M107" s="32"/>
      <c r="N107" s="32"/>
    </row>
    <row r="108" spans="1:14" s="35" customFormat="1" ht="15.75" customHeight="1">
      <c r="A108" s="69"/>
      <c r="B108" s="63"/>
      <c r="C108" s="70"/>
      <c r="D108" s="62" t="s">
        <v>27</v>
      </c>
      <c r="E108" s="29">
        <v>875</v>
      </c>
      <c r="F108" s="19" t="s">
        <v>45</v>
      </c>
      <c r="G108" s="19" t="s">
        <v>151</v>
      </c>
      <c r="H108" s="29">
        <v>612</v>
      </c>
      <c r="I108" s="36">
        <f t="shared" si="1"/>
        <v>11350.630000000001</v>
      </c>
      <c r="J108" s="36">
        <v>7350.63</v>
      </c>
      <c r="K108" s="36">
        <v>1000</v>
      </c>
      <c r="L108" s="36">
        <f>1000+2000</f>
        <v>3000</v>
      </c>
      <c r="M108" s="32"/>
      <c r="N108" s="32"/>
    </row>
    <row r="109" spans="1:14" s="35" customFormat="1" ht="18.75" customHeight="1">
      <c r="A109" s="69"/>
      <c r="B109" s="63"/>
      <c r="C109" s="70"/>
      <c r="D109" s="62"/>
      <c r="E109" s="29">
        <v>875</v>
      </c>
      <c r="F109" s="19" t="s">
        <v>45</v>
      </c>
      <c r="G109" s="19" t="s">
        <v>151</v>
      </c>
      <c r="H109" s="29">
        <v>622</v>
      </c>
      <c r="I109" s="36">
        <f t="shared" si="1"/>
        <v>38591</v>
      </c>
      <c r="J109" s="36">
        <f>18841+500</f>
        <v>19341</v>
      </c>
      <c r="K109" s="36">
        <f>6900+400+250</f>
        <v>7550</v>
      </c>
      <c r="L109" s="36">
        <f>9000+2000+450+250</f>
        <v>11700</v>
      </c>
      <c r="M109" s="32"/>
      <c r="N109" s="32"/>
    </row>
    <row r="110" spans="1:14" s="35" customFormat="1" ht="31.5">
      <c r="A110" s="69"/>
      <c r="B110" s="63"/>
      <c r="C110" s="70"/>
      <c r="D110" s="38" t="s">
        <v>25</v>
      </c>
      <c r="E110" s="29">
        <v>856</v>
      </c>
      <c r="F110" s="19" t="s">
        <v>153</v>
      </c>
      <c r="G110" s="19" t="s">
        <v>151</v>
      </c>
      <c r="H110" s="29">
        <v>612</v>
      </c>
      <c r="I110" s="36">
        <f t="shared" si="1"/>
        <v>7981.200000000001</v>
      </c>
      <c r="J110" s="36">
        <v>3139.5</v>
      </c>
      <c r="K110" s="36">
        <v>2347.9</v>
      </c>
      <c r="L110" s="36">
        <v>2493.8</v>
      </c>
      <c r="M110" s="32"/>
      <c r="N110" s="32"/>
    </row>
    <row r="111" spans="1:14" s="35" customFormat="1" ht="33" customHeight="1">
      <c r="A111" s="69"/>
      <c r="B111" s="63"/>
      <c r="C111" s="70"/>
      <c r="D111" s="62" t="s">
        <v>27</v>
      </c>
      <c r="E111" s="29">
        <v>875</v>
      </c>
      <c r="F111" s="19" t="s">
        <v>157</v>
      </c>
      <c r="G111" s="19" t="s">
        <v>158</v>
      </c>
      <c r="H111" s="29">
        <v>622</v>
      </c>
      <c r="I111" s="36">
        <f t="shared" si="1"/>
        <v>3350</v>
      </c>
      <c r="J111" s="36">
        <v>2150</v>
      </c>
      <c r="K111" s="36">
        <v>300</v>
      </c>
      <c r="L111" s="36">
        <v>900</v>
      </c>
      <c r="M111" s="32"/>
      <c r="N111" s="32"/>
    </row>
    <row r="112" spans="1:14" s="35" customFormat="1" ht="31.5">
      <c r="A112" s="69"/>
      <c r="B112" s="63"/>
      <c r="C112" s="70"/>
      <c r="D112" s="66" t="s">
        <v>27</v>
      </c>
      <c r="E112" s="29" t="s">
        <v>52</v>
      </c>
      <c r="F112" s="19" t="s">
        <v>153</v>
      </c>
      <c r="G112" s="19" t="s">
        <v>163</v>
      </c>
      <c r="H112" s="29">
        <v>465</v>
      </c>
      <c r="I112" s="36">
        <f t="shared" si="1"/>
        <v>14047.9</v>
      </c>
      <c r="J112" s="36">
        <v>14047.9</v>
      </c>
      <c r="K112" s="36">
        <v>0</v>
      </c>
      <c r="L112" s="36">
        <v>0</v>
      </c>
      <c r="M112" s="32"/>
      <c r="N112" s="32"/>
    </row>
    <row r="113" spans="1:14" s="35" customFormat="1" ht="31.5">
      <c r="A113" s="69"/>
      <c r="B113" s="63"/>
      <c r="C113" s="70"/>
      <c r="D113" s="66" t="s">
        <v>27</v>
      </c>
      <c r="E113" s="29" t="s">
        <v>52</v>
      </c>
      <c r="F113" s="19" t="s">
        <v>155</v>
      </c>
      <c r="G113" s="19" t="s">
        <v>156</v>
      </c>
      <c r="H113" s="29" t="s">
        <v>53</v>
      </c>
      <c r="I113" s="36">
        <f t="shared" si="1"/>
        <v>4024.8</v>
      </c>
      <c r="J113" s="36">
        <v>2012.4</v>
      </c>
      <c r="K113" s="36">
        <v>2012.4</v>
      </c>
      <c r="L113" s="36">
        <v>0</v>
      </c>
      <c r="M113" s="32"/>
      <c r="N113" s="32"/>
    </row>
    <row r="114" spans="1:14" s="35" customFormat="1" ht="17.25" customHeight="1">
      <c r="A114" s="25" t="s">
        <v>164</v>
      </c>
      <c r="B114" s="19" t="s">
        <v>165</v>
      </c>
      <c r="C114" s="49" t="s">
        <v>166</v>
      </c>
      <c r="D114" s="72"/>
      <c r="E114" s="29"/>
      <c r="F114" s="19"/>
      <c r="G114" s="19"/>
      <c r="H114" s="29"/>
      <c r="I114" s="36">
        <f t="shared" si="1"/>
        <v>6523.200000000001</v>
      </c>
      <c r="J114" s="36">
        <f>SUM(J115:J116)</f>
        <v>2174.4</v>
      </c>
      <c r="K114" s="36">
        <f>SUM(K115:K116)</f>
        <v>2174.4</v>
      </c>
      <c r="L114" s="36">
        <f>SUM(L115:L116)</f>
        <v>2174.4</v>
      </c>
      <c r="M114" s="32"/>
      <c r="N114" s="32"/>
    </row>
    <row r="115" spans="1:14" s="35" customFormat="1" ht="31.5">
      <c r="A115" s="25"/>
      <c r="B115" s="19"/>
      <c r="C115" s="49"/>
      <c r="D115" s="72" t="s">
        <v>25</v>
      </c>
      <c r="E115" s="25">
        <v>856</v>
      </c>
      <c r="F115" s="51" t="s">
        <v>45</v>
      </c>
      <c r="G115" s="51" t="s">
        <v>167</v>
      </c>
      <c r="H115" s="25">
        <v>330</v>
      </c>
      <c r="I115" s="67">
        <f t="shared" si="1"/>
        <v>1166.4</v>
      </c>
      <c r="J115" s="36">
        <v>388.8</v>
      </c>
      <c r="K115" s="36">
        <v>388.8</v>
      </c>
      <c r="L115" s="36">
        <v>388.8</v>
      </c>
      <c r="M115" s="32"/>
      <c r="N115" s="32"/>
    </row>
    <row r="116" spans="1:14" s="35" customFormat="1" ht="41.25" customHeight="1">
      <c r="A116" s="25"/>
      <c r="B116" s="19"/>
      <c r="C116" s="49"/>
      <c r="D116" s="38" t="s">
        <v>27</v>
      </c>
      <c r="E116" s="25">
        <v>875</v>
      </c>
      <c r="F116" s="51" t="s">
        <v>45</v>
      </c>
      <c r="G116" s="51" t="s">
        <v>167</v>
      </c>
      <c r="H116" s="25">
        <v>330</v>
      </c>
      <c r="I116" s="67">
        <f t="shared" si="1"/>
        <v>5356.799999999999</v>
      </c>
      <c r="J116" s="36">
        <v>1785.6</v>
      </c>
      <c r="K116" s="36">
        <v>1785.6</v>
      </c>
      <c r="L116" s="36">
        <v>1785.6</v>
      </c>
      <c r="M116" s="32"/>
      <c r="N116" s="32"/>
    </row>
    <row r="117" spans="1:14" s="35" customFormat="1" ht="54" customHeight="1">
      <c r="A117" s="25" t="s">
        <v>168</v>
      </c>
      <c r="B117" s="19" t="s">
        <v>169</v>
      </c>
      <c r="C117" s="60" t="s">
        <v>138</v>
      </c>
      <c r="D117" s="38" t="s">
        <v>27</v>
      </c>
      <c r="E117" s="25">
        <v>875</v>
      </c>
      <c r="F117" s="51" t="s">
        <v>45</v>
      </c>
      <c r="G117" s="51" t="s">
        <v>139</v>
      </c>
      <c r="H117" s="25">
        <v>330</v>
      </c>
      <c r="I117" s="67">
        <f t="shared" si="1"/>
        <v>180</v>
      </c>
      <c r="J117" s="36">
        <v>60</v>
      </c>
      <c r="K117" s="36">
        <v>60</v>
      </c>
      <c r="L117" s="36">
        <v>60</v>
      </c>
      <c r="M117" s="7"/>
      <c r="N117" s="7"/>
    </row>
    <row r="118" spans="1:14" s="35" customFormat="1" ht="53.25" customHeight="1">
      <c r="A118" s="25" t="s">
        <v>170</v>
      </c>
      <c r="B118" s="19" t="s">
        <v>171</v>
      </c>
      <c r="C118" s="49" t="s">
        <v>172</v>
      </c>
      <c r="D118" s="38" t="s">
        <v>27</v>
      </c>
      <c r="E118" s="29">
        <v>875</v>
      </c>
      <c r="F118" s="19" t="s">
        <v>45</v>
      </c>
      <c r="G118" s="19" t="s">
        <v>151</v>
      </c>
      <c r="H118" s="29">
        <v>622</v>
      </c>
      <c r="I118" s="36">
        <f t="shared" si="1"/>
        <v>300</v>
      </c>
      <c r="J118" s="36">
        <v>100</v>
      </c>
      <c r="K118" s="36">
        <v>100</v>
      </c>
      <c r="L118" s="36">
        <v>100</v>
      </c>
      <c r="M118" s="7"/>
      <c r="N118" s="7"/>
    </row>
    <row r="119" spans="1:14" s="35" customFormat="1" ht="37.5" customHeight="1">
      <c r="A119" s="25" t="s">
        <v>173</v>
      </c>
      <c r="B119" s="19" t="s">
        <v>174</v>
      </c>
      <c r="C119" s="49" t="s">
        <v>175</v>
      </c>
      <c r="D119" s="38" t="s">
        <v>27</v>
      </c>
      <c r="E119" s="29" t="s">
        <v>52</v>
      </c>
      <c r="F119" s="19" t="s">
        <v>45</v>
      </c>
      <c r="G119" s="19" t="s">
        <v>151</v>
      </c>
      <c r="H119" s="29" t="s">
        <v>53</v>
      </c>
      <c r="I119" s="36">
        <f t="shared" si="1"/>
        <v>649</v>
      </c>
      <c r="J119" s="36">
        <v>649</v>
      </c>
      <c r="K119" s="36"/>
      <c r="L119" s="36"/>
      <c r="M119" s="7"/>
      <c r="N119" s="7"/>
    </row>
    <row r="120" spans="1:14" s="35" customFormat="1" ht="50.25" customHeight="1">
      <c r="A120" s="25" t="s">
        <v>176</v>
      </c>
      <c r="B120" s="26" t="s">
        <v>34</v>
      </c>
      <c r="C120" s="45" t="s">
        <v>177</v>
      </c>
      <c r="D120" s="28"/>
      <c r="E120" s="47"/>
      <c r="F120" s="26"/>
      <c r="G120" s="26"/>
      <c r="H120" s="47"/>
      <c r="I120" s="30"/>
      <c r="J120" s="30"/>
      <c r="K120" s="30"/>
      <c r="L120" s="30"/>
      <c r="M120" s="7"/>
      <c r="N120" s="7"/>
    </row>
    <row r="121" spans="1:14" s="37" customFormat="1" ht="17.25" customHeight="1">
      <c r="A121" s="25" t="s">
        <v>178</v>
      </c>
      <c r="B121" s="19" t="s">
        <v>179</v>
      </c>
      <c r="C121" s="73" t="s">
        <v>180</v>
      </c>
      <c r="D121" s="74"/>
      <c r="E121" s="75"/>
      <c r="F121" s="75"/>
      <c r="G121" s="75"/>
      <c r="H121" s="75"/>
      <c r="I121" s="36">
        <f t="shared" si="1"/>
        <v>6010</v>
      </c>
      <c r="J121" s="36">
        <f>J122+J123</f>
        <v>2060</v>
      </c>
      <c r="K121" s="36">
        <f>K122+K123</f>
        <v>1890</v>
      </c>
      <c r="L121" s="36">
        <f>L122+L123</f>
        <v>2060</v>
      </c>
      <c r="M121" s="32"/>
      <c r="N121" s="32"/>
    </row>
    <row r="122" spans="1:14" s="37" customFormat="1" ht="31.5">
      <c r="A122" s="25"/>
      <c r="B122" s="19"/>
      <c r="C122" s="73"/>
      <c r="D122" s="72" t="s">
        <v>181</v>
      </c>
      <c r="E122" s="29" t="s">
        <v>182</v>
      </c>
      <c r="F122" s="19" t="s">
        <v>153</v>
      </c>
      <c r="G122" s="19" t="s">
        <v>154</v>
      </c>
      <c r="H122" s="29">
        <v>612</v>
      </c>
      <c r="I122" s="36">
        <f t="shared" si="1"/>
        <v>830</v>
      </c>
      <c r="J122" s="36">
        <v>360</v>
      </c>
      <c r="K122" s="36">
        <v>110</v>
      </c>
      <c r="L122" s="36">
        <v>360</v>
      </c>
      <c r="M122" s="32"/>
      <c r="N122" s="32"/>
    </row>
    <row r="123" spans="1:14" s="37" customFormat="1" ht="31.5">
      <c r="A123" s="25"/>
      <c r="B123" s="19"/>
      <c r="C123" s="73"/>
      <c r="D123" s="72" t="s">
        <v>27</v>
      </c>
      <c r="E123" s="29">
        <v>875</v>
      </c>
      <c r="F123" s="19" t="s">
        <v>45</v>
      </c>
      <c r="G123" s="19" t="s">
        <v>151</v>
      </c>
      <c r="H123" s="29">
        <v>622</v>
      </c>
      <c r="I123" s="36">
        <f t="shared" si="1"/>
        <v>5180</v>
      </c>
      <c r="J123" s="36">
        <f>400+1000+100+100+100</f>
        <v>1700</v>
      </c>
      <c r="K123" s="36">
        <f>400+1000+100+100+100+80</f>
        <v>1780</v>
      </c>
      <c r="L123" s="36">
        <f>400+1000+100+100+100</f>
        <v>1700</v>
      </c>
      <c r="M123" s="32"/>
      <c r="N123" s="32"/>
    </row>
    <row r="124" spans="1:14" s="35" customFormat="1" ht="41.25" customHeight="1">
      <c r="A124" s="25" t="s">
        <v>183</v>
      </c>
      <c r="B124" s="19" t="s">
        <v>184</v>
      </c>
      <c r="C124" s="73" t="s">
        <v>185</v>
      </c>
      <c r="D124" s="72" t="s">
        <v>27</v>
      </c>
      <c r="E124" s="29">
        <v>875</v>
      </c>
      <c r="F124" s="19" t="s">
        <v>45</v>
      </c>
      <c r="G124" s="19" t="s">
        <v>151</v>
      </c>
      <c r="H124" s="29">
        <v>622</v>
      </c>
      <c r="I124" s="36">
        <f t="shared" si="1"/>
        <v>5400</v>
      </c>
      <c r="J124" s="36">
        <f>900+50+100+500+200</f>
        <v>1750</v>
      </c>
      <c r="K124" s="36">
        <f>950+50+100+500+200</f>
        <v>1800</v>
      </c>
      <c r="L124" s="36">
        <f>1000+50+100+500+200</f>
        <v>1850</v>
      </c>
      <c r="M124" s="7"/>
      <c r="N124" s="7"/>
    </row>
    <row r="125" spans="1:14" s="35" customFormat="1" ht="36" customHeight="1">
      <c r="A125" s="25" t="s">
        <v>186</v>
      </c>
      <c r="B125" s="26" t="s">
        <v>34</v>
      </c>
      <c r="C125" s="45" t="s">
        <v>187</v>
      </c>
      <c r="D125" s="76"/>
      <c r="E125" s="47"/>
      <c r="F125" s="26"/>
      <c r="G125" s="26"/>
      <c r="H125" s="47"/>
      <c r="I125" s="30"/>
      <c r="J125" s="30"/>
      <c r="K125" s="30"/>
      <c r="L125" s="30"/>
      <c r="M125" s="7"/>
      <c r="N125" s="7"/>
    </row>
    <row r="126" spans="1:14" s="35" customFormat="1" ht="38.25" customHeight="1">
      <c r="A126" s="25" t="s">
        <v>188</v>
      </c>
      <c r="B126" s="19" t="s">
        <v>189</v>
      </c>
      <c r="C126" s="73" t="s">
        <v>190</v>
      </c>
      <c r="D126" s="72" t="s">
        <v>27</v>
      </c>
      <c r="E126" s="29">
        <v>875</v>
      </c>
      <c r="F126" s="19" t="s">
        <v>45</v>
      </c>
      <c r="G126" s="19" t="s">
        <v>151</v>
      </c>
      <c r="H126" s="29">
        <v>622</v>
      </c>
      <c r="I126" s="36">
        <f t="shared" si="1"/>
        <v>11850</v>
      </c>
      <c r="J126" s="36">
        <v>3700</v>
      </c>
      <c r="K126" s="36">
        <v>3950</v>
      </c>
      <c r="L126" s="36">
        <v>4200</v>
      </c>
      <c r="M126" s="7"/>
      <c r="N126" s="7"/>
    </row>
    <row r="127" spans="1:14" s="35" customFormat="1" ht="18" customHeight="1">
      <c r="A127" s="25" t="s">
        <v>191</v>
      </c>
      <c r="B127" s="19" t="s">
        <v>192</v>
      </c>
      <c r="C127" s="77" t="s">
        <v>193</v>
      </c>
      <c r="D127" s="72"/>
      <c r="E127" s="29"/>
      <c r="F127" s="19"/>
      <c r="G127" s="19"/>
      <c r="H127" s="29"/>
      <c r="I127" s="36">
        <f t="shared" si="1"/>
        <v>1492.8000000000002</v>
      </c>
      <c r="J127" s="36">
        <f>SUM(J128:J129)</f>
        <v>597.6</v>
      </c>
      <c r="K127" s="36">
        <f>SUM(K128:K129)</f>
        <v>447.6</v>
      </c>
      <c r="L127" s="36">
        <f>SUM(L128:L129)</f>
        <v>447.6</v>
      </c>
      <c r="M127" s="32"/>
      <c r="N127" s="32"/>
    </row>
    <row r="128" spans="1:14" s="35" customFormat="1" ht="18" customHeight="1">
      <c r="A128" s="25"/>
      <c r="B128" s="19"/>
      <c r="C128" s="77"/>
      <c r="D128" s="78" t="s">
        <v>27</v>
      </c>
      <c r="E128" s="29">
        <v>875</v>
      </c>
      <c r="F128" s="19" t="s">
        <v>45</v>
      </c>
      <c r="G128" s="19" t="s">
        <v>151</v>
      </c>
      <c r="H128" s="29">
        <v>244</v>
      </c>
      <c r="I128" s="36">
        <f t="shared" si="1"/>
        <v>445.2</v>
      </c>
      <c r="J128" s="36">
        <v>50</v>
      </c>
      <c r="K128" s="36">
        <v>197.6</v>
      </c>
      <c r="L128" s="36">
        <v>197.6</v>
      </c>
      <c r="M128" s="32"/>
      <c r="N128" s="32"/>
    </row>
    <row r="129" spans="1:14" s="35" customFormat="1" ht="18" customHeight="1">
      <c r="A129" s="25"/>
      <c r="B129" s="19"/>
      <c r="C129" s="77"/>
      <c r="D129" s="78"/>
      <c r="E129" s="29">
        <v>875</v>
      </c>
      <c r="F129" s="19" t="s">
        <v>45</v>
      </c>
      <c r="G129" s="19" t="s">
        <v>151</v>
      </c>
      <c r="H129" s="29">
        <v>622</v>
      </c>
      <c r="I129" s="36">
        <f t="shared" si="1"/>
        <v>1047.6</v>
      </c>
      <c r="J129" s="36">
        <f>100+300+147.6</f>
        <v>547.6</v>
      </c>
      <c r="K129" s="36">
        <f>150+100</f>
        <v>250</v>
      </c>
      <c r="L129" s="36">
        <f>150+100</f>
        <v>250</v>
      </c>
      <c r="M129" s="32"/>
      <c r="N129" s="32"/>
    </row>
    <row r="130" spans="1:14" s="35" customFormat="1" ht="31.5">
      <c r="A130" s="25" t="s">
        <v>194</v>
      </c>
      <c r="B130" s="63" t="s">
        <v>195</v>
      </c>
      <c r="C130" s="73" t="s">
        <v>196</v>
      </c>
      <c r="D130" s="72" t="s">
        <v>27</v>
      </c>
      <c r="E130" s="29">
        <v>875</v>
      </c>
      <c r="F130" s="19" t="s">
        <v>45</v>
      </c>
      <c r="G130" s="19" t="s">
        <v>151</v>
      </c>
      <c r="H130" s="29">
        <v>622</v>
      </c>
      <c r="I130" s="36">
        <f t="shared" si="1"/>
        <v>1050</v>
      </c>
      <c r="J130" s="36">
        <f>100+100+50+100</f>
        <v>350</v>
      </c>
      <c r="K130" s="36">
        <f>100+100+50+100</f>
        <v>350</v>
      </c>
      <c r="L130" s="36">
        <f>100+100+50+100</f>
        <v>350</v>
      </c>
      <c r="M130" s="7"/>
      <c r="N130" s="7"/>
    </row>
    <row r="131" spans="1:14" s="35" customFormat="1" ht="55.5" customHeight="1">
      <c r="A131" s="25" t="s">
        <v>197</v>
      </c>
      <c r="B131" s="56" t="s">
        <v>198</v>
      </c>
      <c r="C131" s="77" t="s">
        <v>199</v>
      </c>
      <c r="D131" s="72" t="s">
        <v>27</v>
      </c>
      <c r="E131" s="29">
        <v>875</v>
      </c>
      <c r="F131" s="19" t="s">
        <v>45</v>
      </c>
      <c r="G131" s="19" t="s">
        <v>151</v>
      </c>
      <c r="H131" s="29">
        <v>622</v>
      </c>
      <c r="I131" s="36">
        <f t="shared" si="1"/>
        <v>750</v>
      </c>
      <c r="J131" s="36">
        <f>150+100</f>
        <v>250</v>
      </c>
      <c r="K131" s="36">
        <f>150+100</f>
        <v>250</v>
      </c>
      <c r="L131" s="36">
        <f>150+100</f>
        <v>250</v>
      </c>
      <c r="M131" s="7"/>
      <c r="N131" s="7"/>
    </row>
    <row r="132" spans="1:14" s="35" customFormat="1" ht="15.75" customHeight="1">
      <c r="A132" s="25" t="s">
        <v>200</v>
      </c>
      <c r="B132" s="26" t="s">
        <v>201</v>
      </c>
      <c r="C132" s="27" t="s">
        <v>202</v>
      </c>
      <c r="D132" s="28" t="s">
        <v>18</v>
      </c>
      <c r="E132" s="29"/>
      <c r="F132" s="19"/>
      <c r="G132" s="19"/>
      <c r="H132" s="29"/>
      <c r="I132" s="30">
        <f t="shared" si="1"/>
        <v>5163851.775570003</v>
      </c>
      <c r="J132" s="30">
        <f>SUM(J134:J138)</f>
        <v>1810478.1463199998</v>
      </c>
      <c r="K132" s="30">
        <f>SUM(K134:K138)</f>
        <v>1669809.8762000033</v>
      </c>
      <c r="L132" s="30">
        <f>SUM(L134:L138)</f>
        <v>1683563.7530499995</v>
      </c>
      <c r="M132" s="32"/>
      <c r="N132" s="32"/>
    </row>
    <row r="133" spans="1:14" s="35" customFormat="1" ht="51.75" customHeight="1">
      <c r="A133" s="25"/>
      <c r="B133" s="26"/>
      <c r="C133" s="27"/>
      <c r="D133" s="28" t="s">
        <v>203</v>
      </c>
      <c r="E133" s="29">
        <v>875</v>
      </c>
      <c r="F133" s="19"/>
      <c r="G133" s="19"/>
      <c r="H133" s="29"/>
      <c r="I133" s="67"/>
      <c r="J133" s="67"/>
      <c r="K133" s="67"/>
      <c r="L133" s="67"/>
      <c r="M133" s="32"/>
      <c r="N133" s="32"/>
    </row>
    <row r="134" spans="1:14" s="35" customFormat="1" ht="53.25" customHeight="1">
      <c r="A134" s="25"/>
      <c r="B134" s="26"/>
      <c r="C134" s="27"/>
      <c r="D134" s="38" t="s">
        <v>21</v>
      </c>
      <c r="E134" s="29">
        <v>831</v>
      </c>
      <c r="F134" s="19"/>
      <c r="G134" s="19"/>
      <c r="H134" s="29"/>
      <c r="I134" s="36">
        <f t="shared" si="1"/>
        <v>3627</v>
      </c>
      <c r="J134" s="67">
        <f>J165+J166+J167</f>
        <v>1209</v>
      </c>
      <c r="K134" s="67">
        <f>K165+K166+K167</f>
        <v>1209</v>
      </c>
      <c r="L134" s="67">
        <f>L165+L166+L167</f>
        <v>1209</v>
      </c>
      <c r="M134" s="32"/>
      <c r="N134" s="32"/>
    </row>
    <row r="135" spans="1:14" s="35" customFormat="1" ht="35.25" customHeight="1">
      <c r="A135" s="25"/>
      <c r="B135" s="26"/>
      <c r="C135" s="27"/>
      <c r="D135" s="38" t="s">
        <v>22</v>
      </c>
      <c r="E135" s="29">
        <v>848</v>
      </c>
      <c r="F135" s="19"/>
      <c r="G135" s="19"/>
      <c r="H135" s="29"/>
      <c r="I135" s="36">
        <f t="shared" si="1"/>
        <v>1200</v>
      </c>
      <c r="J135" s="67">
        <f>J172</f>
        <v>400</v>
      </c>
      <c r="K135" s="67">
        <f>K172</f>
        <v>400</v>
      </c>
      <c r="L135" s="67">
        <f>L172</f>
        <v>400</v>
      </c>
      <c r="M135" s="32"/>
      <c r="N135" s="32"/>
    </row>
    <row r="136" spans="1:14" s="35" customFormat="1" ht="48.75" customHeight="1">
      <c r="A136" s="25"/>
      <c r="B136" s="26"/>
      <c r="C136" s="27"/>
      <c r="D136" s="38" t="s">
        <v>23</v>
      </c>
      <c r="E136" s="29">
        <v>851</v>
      </c>
      <c r="F136" s="19"/>
      <c r="G136" s="19"/>
      <c r="H136" s="29"/>
      <c r="I136" s="36">
        <f t="shared" si="1"/>
        <v>3390</v>
      </c>
      <c r="J136" s="67">
        <f>J173+J174</f>
        <v>1130</v>
      </c>
      <c r="K136" s="67">
        <f>K173+K174</f>
        <v>1130</v>
      </c>
      <c r="L136" s="67">
        <f>L173+L174</f>
        <v>1130</v>
      </c>
      <c r="M136" s="32"/>
      <c r="N136" s="32"/>
    </row>
    <row r="137" spans="1:14" s="35" customFormat="1" ht="44.25" customHeight="1">
      <c r="A137" s="25"/>
      <c r="B137" s="26"/>
      <c r="C137" s="27"/>
      <c r="D137" s="38" t="s">
        <v>24</v>
      </c>
      <c r="E137" s="29">
        <v>854</v>
      </c>
      <c r="F137" s="19"/>
      <c r="G137" s="19"/>
      <c r="H137" s="29"/>
      <c r="I137" s="36">
        <f t="shared" si="1"/>
        <v>3372</v>
      </c>
      <c r="J137" s="67">
        <f>J168</f>
        <v>1124</v>
      </c>
      <c r="K137" s="67">
        <f>K168</f>
        <v>1124</v>
      </c>
      <c r="L137" s="67">
        <f>L168</f>
        <v>1124</v>
      </c>
      <c r="M137" s="32"/>
      <c r="N137" s="32"/>
    </row>
    <row r="138" spans="1:14" s="35" customFormat="1" ht="33.75" customHeight="1">
      <c r="A138" s="25"/>
      <c r="B138" s="26"/>
      <c r="C138" s="27"/>
      <c r="D138" s="39" t="s">
        <v>27</v>
      </c>
      <c r="E138" s="29">
        <v>875</v>
      </c>
      <c r="F138" s="19"/>
      <c r="G138" s="19"/>
      <c r="H138" s="29"/>
      <c r="I138" s="36">
        <f t="shared" si="1"/>
        <v>5152262.775570003</v>
      </c>
      <c r="J138" s="36">
        <f>J141+J148+J149+J151+J178+J159+J164+J171+J185+J186+J187-J137-J136-J135-J134</f>
        <v>1806615.1463199998</v>
      </c>
      <c r="K138" s="36">
        <f>K141+K148+K149+K151+K178+K159+K164+K171+K185+K186+K187-K137-K136-K135-K134</f>
        <v>1665946.8762000033</v>
      </c>
      <c r="L138" s="36">
        <f>L141+L148+L149+L151+L178+L159+L164+L171+L185+L186+L187-L137-L136-L135-L134</f>
        <v>1679700.7530499995</v>
      </c>
      <c r="M138" s="32"/>
      <c r="N138" s="32"/>
    </row>
    <row r="139" spans="1:14" s="35" customFormat="1" ht="37.5" customHeight="1">
      <c r="A139" s="25" t="s">
        <v>204</v>
      </c>
      <c r="B139" s="19" t="s">
        <v>32</v>
      </c>
      <c r="C139" s="49"/>
      <c r="D139" s="38"/>
      <c r="E139" s="29"/>
      <c r="F139" s="19"/>
      <c r="G139" s="19"/>
      <c r="H139" s="29"/>
      <c r="I139" s="36"/>
      <c r="J139" s="36"/>
      <c r="K139" s="36"/>
      <c r="L139" s="36"/>
      <c r="M139" s="7"/>
      <c r="N139" s="7"/>
    </row>
    <row r="140" spans="1:14" s="35" customFormat="1" ht="49.5" customHeight="1">
      <c r="A140" s="25" t="s">
        <v>205</v>
      </c>
      <c r="B140" s="61" t="s">
        <v>34</v>
      </c>
      <c r="C140" s="79" t="s">
        <v>206</v>
      </c>
      <c r="D140" s="28"/>
      <c r="E140" s="47"/>
      <c r="F140" s="26"/>
      <c r="G140" s="26"/>
      <c r="H140" s="47"/>
      <c r="I140" s="30"/>
      <c r="J140" s="30"/>
      <c r="K140" s="30"/>
      <c r="L140" s="30"/>
      <c r="M140" s="7"/>
      <c r="N140" s="7"/>
    </row>
    <row r="141" spans="1:14" s="35" customFormat="1" ht="15.75" customHeight="1">
      <c r="A141" s="25" t="s">
        <v>207</v>
      </c>
      <c r="B141" s="19" t="s">
        <v>208</v>
      </c>
      <c r="C141" s="49" t="s">
        <v>209</v>
      </c>
      <c r="D141" s="80"/>
      <c r="E141" s="29"/>
      <c r="F141" s="19"/>
      <c r="G141" s="19"/>
      <c r="H141" s="29"/>
      <c r="I141" s="36">
        <f t="shared" si="1"/>
        <v>4690707.58122</v>
      </c>
      <c r="J141" s="36">
        <f>J142+J143+J144+J145+J146+J147</f>
        <v>1591225.8492</v>
      </c>
      <c r="K141" s="36">
        <f>K142+K143+K144+K145+K146+K147</f>
        <v>1537687.43404</v>
      </c>
      <c r="L141" s="36">
        <f>L142+L143+L144+L145+L146+L147</f>
        <v>1561794.2979799998</v>
      </c>
      <c r="M141" s="32"/>
      <c r="N141" s="32"/>
    </row>
    <row r="142" spans="1:14" s="35" customFormat="1" ht="17.25" customHeight="1">
      <c r="A142" s="25"/>
      <c r="B142" s="19"/>
      <c r="C142" s="49"/>
      <c r="D142" s="81" t="s">
        <v>27</v>
      </c>
      <c r="E142" s="82">
        <v>875</v>
      </c>
      <c r="F142" s="19" t="s">
        <v>79</v>
      </c>
      <c r="G142" s="19" t="s">
        <v>88</v>
      </c>
      <c r="H142" s="29">
        <v>611</v>
      </c>
      <c r="I142" s="36">
        <f t="shared" si="1"/>
        <v>537185.59609</v>
      </c>
      <c r="J142" s="36">
        <v>182938.62635</v>
      </c>
      <c r="K142" s="36">
        <v>174709.45607</v>
      </c>
      <c r="L142" s="36">
        <v>179537.51367</v>
      </c>
      <c r="M142" s="32"/>
      <c r="N142" s="32"/>
    </row>
    <row r="143" spans="1:14" s="35" customFormat="1" ht="17.25">
      <c r="A143" s="25"/>
      <c r="B143" s="19"/>
      <c r="C143" s="49"/>
      <c r="D143" s="81"/>
      <c r="E143" s="82">
        <v>875</v>
      </c>
      <c r="F143" s="19" t="s">
        <v>79</v>
      </c>
      <c r="G143" s="19" t="s">
        <v>210</v>
      </c>
      <c r="H143" s="29">
        <v>611</v>
      </c>
      <c r="I143" s="36">
        <f t="shared" si="1"/>
        <v>79595.81299</v>
      </c>
      <c r="J143" s="36">
        <v>26028.17014</v>
      </c>
      <c r="K143" s="36">
        <v>26346.29954</v>
      </c>
      <c r="L143" s="36">
        <v>27221.34331</v>
      </c>
      <c r="M143" s="32"/>
      <c r="N143" s="32"/>
    </row>
    <row r="144" spans="1:14" s="35" customFormat="1" ht="17.25">
      <c r="A144" s="25"/>
      <c r="B144" s="19"/>
      <c r="C144" s="49"/>
      <c r="D144" s="81"/>
      <c r="E144" s="82">
        <v>875</v>
      </c>
      <c r="F144" s="19" t="s">
        <v>79</v>
      </c>
      <c r="G144" s="19" t="s">
        <v>210</v>
      </c>
      <c r="H144" s="29">
        <v>621</v>
      </c>
      <c r="I144" s="36">
        <f t="shared" si="1"/>
        <v>371845.86063</v>
      </c>
      <c r="J144" s="36">
        <v>121881.08677</v>
      </c>
      <c r="K144" s="36">
        <v>124411.32387000001</v>
      </c>
      <c r="L144" s="36">
        <v>125553.44999000001</v>
      </c>
      <c r="M144" s="32"/>
      <c r="N144" s="32"/>
    </row>
    <row r="145" spans="1:14" s="35" customFormat="1" ht="17.25">
      <c r="A145" s="25"/>
      <c r="B145" s="19"/>
      <c r="C145" s="49"/>
      <c r="D145" s="81"/>
      <c r="E145" s="82">
        <v>875</v>
      </c>
      <c r="F145" s="19" t="s">
        <v>79</v>
      </c>
      <c r="G145" s="19" t="s">
        <v>211</v>
      </c>
      <c r="H145" s="29">
        <v>611</v>
      </c>
      <c r="I145" s="36">
        <f t="shared" si="1"/>
        <v>1325464.34006</v>
      </c>
      <c r="J145" s="36">
        <v>442276.69725</v>
      </c>
      <c r="K145" s="36">
        <v>437624.06214</v>
      </c>
      <c r="L145" s="36">
        <v>445563.58067</v>
      </c>
      <c r="M145" s="32"/>
      <c r="N145" s="32"/>
    </row>
    <row r="146" spans="1:14" s="35" customFormat="1" ht="17.25">
      <c r="A146" s="25"/>
      <c r="B146" s="19"/>
      <c r="C146" s="49"/>
      <c r="D146" s="81"/>
      <c r="E146" s="82">
        <v>875</v>
      </c>
      <c r="F146" s="19" t="s">
        <v>79</v>
      </c>
      <c r="G146" s="19" t="s">
        <v>212</v>
      </c>
      <c r="H146" s="29">
        <v>611</v>
      </c>
      <c r="I146" s="36">
        <f t="shared" si="1"/>
        <v>2361198.97145</v>
      </c>
      <c r="J146" s="36">
        <v>812962.26869</v>
      </c>
      <c r="K146" s="36">
        <v>769457.29242</v>
      </c>
      <c r="L146" s="36">
        <v>778779.41034</v>
      </c>
      <c r="M146" s="32"/>
      <c r="N146" s="32"/>
    </row>
    <row r="147" spans="1:14" s="35" customFormat="1" ht="17.25">
      <c r="A147" s="25"/>
      <c r="B147" s="19"/>
      <c r="C147" s="49"/>
      <c r="D147" s="83"/>
      <c r="E147" s="82">
        <v>875</v>
      </c>
      <c r="F147" s="19" t="s">
        <v>79</v>
      </c>
      <c r="G147" s="19" t="s">
        <v>82</v>
      </c>
      <c r="H147" s="29">
        <v>612</v>
      </c>
      <c r="I147" s="36">
        <f t="shared" si="1"/>
        <v>15417</v>
      </c>
      <c r="J147" s="36">
        <v>5139</v>
      </c>
      <c r="K147" s="36">
        <v>5139</v>
      </c>
      <c r="L147" s="36">
        <v>5139</v>
      </c>
      <c r="M147" s="32"/>
      <c r="N147" s="32"/>
    </row>
    <row r="148" spans="1:14" s="37" customFormat="1" ht="41.25" customHeight="1">
      <c r="A148" s="25" t="s">
        <v>213</v>
      </c>
      <c r="B148" s="63" t="s">
        <v>214</v>
      </c>
      <c r="C148" s="70" t="s">
        <v>215</v>
      </c>
      <c r="D148" s="83" t="s">
        <v>27</v>
      </c>
      <c r="E148" s="29">
        <v>875</v>
      </c>
      <c r="F148" s="19" t="s">
        <v>79</v>
      </c>
      <c r="G148" s="19" t="s">
        <v>216</v>
      </c>
      <c r="H148" s="29">
        <v>612</v>
      </c>
      <c r="I148" s="36">
        <f t="shared" si="1"/>
        <v>150</v>
      </c>
      <c r="J148" s="36">
        <v>50</v>
      </c>
      <c r="K148" s="36">
        <v>50</v>
      </c>
      <c r="L148" s="36">
        <v>50</v>
      </c>
      <c r="M148" s="7"/>
      <c r="N148" s="7"/>
    </row>
    <row r="149" spans="1:14" s="37" customFormat="1" ht="55.5" customHeight="1">
      <c r="A149" s="25" t="s">
        <v>217</v>
      </c>
      <c r="B149" s="19" t="s">
        <v>218</v>
      </c>
      <c r="C149" s="49" t="s">
        <v>219</v>
      </c>
      <c r="D149" s="39" t="s">
        <v>27</v>
      </c>
      <c r="E149" s="29">
        <v>875</v>
      </c>
      <c r="F149" s="19" t="s">
        <v>45</v>
      </c>
      <c r="G149" s="19" t="s">
        <v>216</v>
      </c>
      <c r="H149" s="29">
        <v>244</v>
      </c>
      <c r="I149" s="36">
        <f t="shared" si="1"/>
        <v>15023.099999999999</v>
      </c>
      <c r="J149" s="36">
        <f>2952.2+2055.5</f>
        <v>5007.7</v>
      </c>
      <c r="K149" s="36">
        <f>2952.2+2055.5</f>
        <v>5007.7</v>
      </c>
      <c r="L149" s="36">
        <f>2952.2+2055.5</f>
        <v>5007.7</v>
      </c>
      <c r="M149" s="7"/>
      <c r="N149" s="7"/>
    </row>
    <row r="150" spans="1:14" s="35" customFormat="1" ht="60" customHeight="1">
      <c r="A150" s="69" t="s">
        <v>220</v>
      </c>
      <c r="B150" s="44" t="s">
        <v>34</v>
      </c>
      <c r="C150" s="45" t="s">
        <v>221</v>
      </c>
      <c r="D150" s="28"/>
      <c r="E150" s="47"/>
      <c r="F150" s="26"/>
      <c r="G150" s="26"/>
      <c r="H150" s="47"/>
      <c r="I150" s="30"/>
      <c r="J150" s="30"/>
      <c r="K150" s="30"/>
      <c r="L150" s="30"/>
      <c r="M150" s="7"/>
      <c r="N150" s="7"/>
    </row>
    <row r="151" spans="1:14" s="37" customFormat="1" ht="15.75" customHeight="1">
      <c r="A151" s="25" t="s">
        <v>222</v>
      </c>
      <c r="B151" s="19" t="s">
        <v>223</v>
      </c>
      <c r="C151" s="22" t="s">
        <v>224</v>
      </c>
      <c r="D151" s="84"/>
      <c r="E151" s="29"/>
      <c r="F151" s="19"/>
      <c r="G151" s="19"/>
      <c r="H151" s="29"/>
      <c r="I151" s="36">
        <f aca="true" t="shared" si="2" ref="I151:I217">SUM(J151:L151)</f>
        <v>399687.59435000364</v>
      </c>
      <c r="J151" s="36">
        <f>SUM(J152:J158)</f>
        <v>194660.09712</v>
      </c>
      <c r="K151" s="36">
        <f>SUM(K152:K158)</f>
        <v>108930.24216000366</v>
      </c>
      <c r="L151" s="36">
        <f>SUM(L152:L158)</f>
        <v>96097.25507000001</v>
      </c>
      <c r="M151" s="32"/>
      <c r="N151" s="32"/>
    </row>
    <row r="152" spans="1:14" s="37" customFormat="1" ht="15.75" customHeight="1">
      <c r="A152" s="25"/>
      <c r="B152" s="19"/>
      <c r="C152" s="22"/>
      <c r="D152" s="84" t="s">
        <v>27</v>
      </c>
      <c r="E152" s="29">
        <v>875</v>
      </c>
      <c r="F152" s="19" t="s">
        <v>79</v>
      </c>
      <c r="G152" s="19" t="s">
        <v>216</v>
      </c>
      <c r="H152" s="29">
        <v>612</v>
      </c>
      <c r="I152" s="36">
        <f t="shared" si="2"/>
        <v>148021.90000000002</v>
      </c>
      <c r="J152" s="36">
        <f>71654.8+11170.5+4600+10082.8</f>
        <v>97508.1</v>
      </c>
      <c r="K152" s="36">
        <v>18256.9</v>
      </c>
      <c r="L152" s="36">
        <v>32256.9</v>
      </c>
      <c r="M152" s="32"/>
      <c r="N152" s="32"/>
    </row>
    <row r="153" spans="1:14" s="37" customFormat="1" ht="17.25">
      <c r="A153" s="25"/>
      <c r="B153" s="19"/>
      <c r="C153" s="22"/>
      <c r="D153" s="84"/>
      <c r="E153" s="29">
        <v>875</v>
      </c>
      <c r="F153" s="19" t="s">
        <v>79</v>
      </c>
      <c r="G153" s="19" t="s">
        <v>216</v>
      </c>
      <c r="H153" s="29">
        <v>622</v>
      </c>
      <c r="I153" s="36">
        <f t="shared" si="2"/>
        <v>3350</v>
      </c>
      <c r="J153" s="36">
        <v>1350</v>
      </c>
      <c r="K153" s="36">
        <v>1000</v>
      </c>
      <c r="L153" s="36">
        <v>1000</v>
      </c>
      <c r="M153" s="32"/>
      <c r="N153" s="32"/>
    </row>
    <row r="154" spans="1:14" s="37" customFormat="1" ht="17.25">
      <c r="A154" s="25"/>
      <c r="B154" s="19"/>
      <c r="C154" s="22"/>
      <c r="D154" s="84"/>
      <c r="E154" s="29">
        <v>875</v>
      </c>
      <c r="F154" s="19" t="s">
        <v>45</v>
      </c>
      <c r="G154" s="19" t="s">
        <v>216</v>
      </c>
      <c r="H154" s="29">
        <v>244</v>
      </c>
      <c r="I154" s="36">
        <f t="shared" si="2"/>
        <v>8370.9</v>
      </c>
      <c r="J154" s="36">
        <v>8370.9</v>
      </c>
      <c r="K154" s="36"/>
      <c r="L154" s="36"/>
      <c r="M154" s="32"/>
      <c r="N154" s="32"/>
    </row>
    <row r="155" spans="1:14" s="35" customFormat="1" ht="17.25">
      <c r="A155" s="25"/>
      <c r="B155" s="19"/>
      <c r="C155" s="22"/>
      <c r="D155" s="84"/>
      <c r="E155" s="29">
        <v>875</v>
      </c>
      <c r="F155" s="19" t="s">
        <v>79</v>
      </c>
      <c r="G155" s="19" t="s">
        <v>210</v>
      </c>
      <c r="H155" s="29">
        <v>622</v>
      </c>
      <c r="I155" s="36">
        <f t="shared" si="2"/>
        <v>177802.9</v>
      </c>
      <c r="J155" s="36">
        <v>77410.2</v>
      </c>
      <c r="K155" s="36">
        <v>69175.2</v>
      </c>
      <c r="L155" s="36">
        <v>31217.5</v>
      </c>
      <c r="M155" s="32"/>
      <c r="N155" s="32"/>
    </row>
    <row r="156" spans="1:14" s="37" customFormat="1" ht="15.75" customHeight="1">
      <c r="A156" s="25"/>
      <c r="B156" s="19"/>
      <c r="C156" s="22"/>
      <c r="D156" s="84"/>
      <c r="E156" s="29">
        <v>875</v>
      </c>
      <c r="F156" s="19" t="s">
        <v>45</v>
      </c>
      <c r="G156" s="19" t="s">
        <v>225</v>
      </c>
      <c r="H156" s="29">
        <v>244</v>
      </c>
      <c r="I156" s="36">
        <f t="shared" si="2"/>
        <v>2340</v>
      </c>
      <c r="J156" s="36">
        <v>780</v>
      </c>
      <c r="K156" s="36">
        <v>780</v>
      </c>
      <c r="L156" s="36">
        <v>780</v>
      </c>
      <c r="M156" s="32"/>
      <c r="N156" s="32"/>
    </row>
    <row r="157" spans="1:14" s="37" customFormat="1" ht="15.75" customHeight="1">
      <c r="A157" s="25"/>
      <c r="B157" s="19"/>
      <c r="C157" s="22"/>
      <c r="D157" s="84"/>
      <c r="E157" s="29">
        <v>875</v>
      </c>
      <c r="F157" s="19" t="s">
        <v>45</v>
      </c>
      <c r="G157" s="19" t="s">
        <v>60</v>
      </c>
      <c r="H157" s="29">
        <v>612</v>
      </c>
      <c r="I157" s="36">
        <f t="shared" si="2"/>
        <v>27500</v>
      </c>
      <c r="J157" s="36">
        <v>4500</v>
      </c>
      <c r="K157" s="36">
        <v>9000</v>
      </c>
      <c r="L157" s="36">
        <v>14000</v>
      </c>
      <c r="M157" s="32"/>
      <c r="N157" s="32"/>
    </row>
    <row r="158" spans="1:14" s="37" customFormat="1" ht="15.75" customHeight="1">
      <c r="A158" s="25"/>
      <c r="B158" s="19"/>
      <c r="C158" s="22"/>
      <c r="D158" s="84"/>
      <c r="E158" s="29">
        <v>875</v>
      </c>
      <c r="F158" s="19" t="s">
        <v>45</v>
      </c>
      <c r="G158" s="19" t="s">
        <v>60</v>
      </c>
      <c r="H158" s="29">
        <v>622</v>
      </c>
      <c r="I158" s="36">
        <f t="shared" si="2"/>
        <v>32301.894350003662</v>
      </c>
      <c r="J158" s="36">
        <v>4740.89712</v>
      </c>
      <c r="K158" s="36">
        <v>10718.142160003663</v>
      </c>
      <c r="L158" s="36">
        <v>16842.85507</v>
      </c>
      <c r="M158" s="32"/>
      <c r="N158" s="32"/>
    </row>
    <row r="159" spans="1:14" s="37" customFormat="1" ht="17.25" customHeight="1">
      <c r="A159" s="25" t="s">
        <v>226</v>
      </c>
      <c r="B159" s="19" t="s">
        <v>227</v>
      </c>
      <c r="C159" s="49" t="s">
        <v>228</v>
      </c>
      <c r="D159" s="39"/>
      <c r="E159" s="29"/>
      <c r="F159" s="19"/>
      <c r="G159" s="19"/>
      <c r="H159" s="29"/>
      <c r="I159" s="36">
        <f t="shared" si="2"/>
        <v>15032.099999999999</v>
      </c>
      <c r="J159" s="36">
        <f>J160+J161+J162+J163</f>
        <v>5210.7</v>
      </c>
      <c r="K159" s="36">
        <f>K160+K161+K162+K163</f>
        <v>4910.7</v>
      </c>
      <c r="L159" s="36">
        <f>L160+L161+L162+L163</f>
        <v>4910.7</v>
      </c>
      <c r="M159" s="32"/>
      <c r="N159" s="32"/>
    </row>
    <row r="160" spans="1:14" s="37" customFormat="1" ht="17.25" customHeight="1">
      <c r="A160" s="25"/>
      <c r="B160" s="19"/>
      <c r="C160" s="49"/>
      <c r="D160" s="85" t="s">
        <v>229</v>
      </c>
      <c r="E160" s="29">
        <v>875</v>
      </c>
      <c r="F160" s="19" t="s">
        <v>45</v>
      </c>
      <c r="G160" s="19" t="s">
        <v>216</v>
      </c>
      <c r="H160" s="29">
        <v>612</v>
      </c>
      <c r="I160" s="36">
        <f t="shared" si="2"/>
        <v>1055.4</v>
      </c>
      <c r="J160" s="36">
        <f>11+28+44.5+44.5+55+168.8</f>
        <v>351.8</v>
      </c>
      <c r="K160" s="36">
        <f>11+28+44.5+44.5+55+168.8</f>
        <v>351.8</v>
      </c>
      <c r="L160" s="36">
        <f>11+28+44.5+44.5+55+168.8</f>
        <v>351.8</v>
      </c>
      <c r="M160" s="32"/>
      <c r="N160" s="32"/>
    </row>
    <row r="161" spans="1:14" s="37" customFormat="1" ht="17.25">
      <c r="A161" s="25"/>
      <c r="B161" s="19"/>
      <c r="C161" s="49"/>
      <c r="D161" s="85"/>
      <c r="E161" s="29">
        <v>875</v>
      </c>
      <c r="F161" s="19" t="s">
        <v>45</v>
      </c>
      <c r="G161" s="19" t="s">
        <v>216</v>
      </c>
      <c r="H161" s="29">
        <v>622</v>
      </c>
      <c r="I161" s="36">
        <f t="shared" si="2"/>
        <v>12986.699999999999</v>
      </c>
      <c r="J161" s="36">
        <f>195+12.5+500.9+290+500+1451.8+140+443.7+195+500+300</f>
        <v>4528.9</v>
      </c>
      <c r="K161" s="36">
        <f>195+12.5+500.9+290+500+1451.8+140+443.7+195+500</f>
        <v>4228.9</v>
      </c>
      <c r="L161" s="36">
        <f>195+12.5+500.9+290+500+1451.8+140+443.7+195+500</f>
        <v>4228.9</v>
      </c>
      <c r="M161" s="32"/>
      <c r="N161" s="32"/>
    </row>
    <row r="162" spans="1:14" s="37" customFormat="1" ht="17.25">
      <c r="A162" s="25"/>
      <c r="B162" s="19"/>
      <c r="C162" s="49"/>
      <c r="D162" s="85"/>
      <c r="E162" s="29">
        <v>875</v>
      </c>
      <c r="F162" s="19" t="s">
        <v>45</v>
      </c>
      <c r="G162" s="19" t="s">
        <v>216</v>
      </c>
      <c r="H162" s="29">
        <v>244</v>
      </c>
      <c r="I162" s="36">
        <f t="shared" si="2"/>
        <v>330</v>
      </c>
      <c r="J162" s="36">
        <v>110</v>
      </c>
      <c r="K162" s="36">
        <v>110</v>
      </c>
      <c r="L162" s="36">
        <v>110</v>
      </c>
      <c r="M162" s="32"/>
      <c r="N162" s="32"/>
    </row>
    <row r="163" spans="1:14" s="37" customFormat="1" ht="17.25">
      <c r="A163" s="25"/>
      <c r="B163" s="19"/>
      <c r="C163" s="49"/>
      <c r="D163" s="85"/>
      <c r="E163" s="29">
        <v>875</v>
      </c>
      <c r="F163" s="19" t="s">
        <v>45</v>
      </c>
      <c r="G163" s="19" t="s">
        <v>225</v>
      </c>
      <c r="H163" s="29">
        <v>622</v>
      </c>
      <c r="I163" s="36">
        <f t="shared" si="2"/>
        <v>660</v>
      </c>
      <c r="J163" s="36">
        <v>220</v>
      </c>
      <c r="K163" s="36">
        <v>220</v>
      </c>
      <c r="L163" s="36">
        <v>220</v>
      </c>
      <c r="M163" s="32"/>
      <c r="N163" s="32"/>
    </row>
    <row r="164" spans="1:14" s="37" customFormat="1" ht="17.25" customHeight="1">
      <c r="A164" s="25" t="s">
        <v>230</v>
      </c>
      <c r="B164" s="56" t="s">
        <v>231</v>
      </c>
      <c r="C164" s="86" t="s">
        <v>232</v>
      </c>
      <c r="D164" s="39"/>
      <c r="E164" s="29"/>
      <c r="F164" s="19"/>
      <c r="G164" s="19"/>
      <c r="H164" s="29"/>
      <c r="I164" s="36">
        <f t="shared" si="2"/>
        <v>10079</v>
      </c>
      <c r="J164" s="36">
        <f>J165+J166+J167+J168+J170+J169</f>
        <v>2933</v>
      </c>
      <c r="K164" s="36">
        <f>K165+K166+K167+K168+K170+K169</f>
        <v>2333</v>
      </c>
      <c r="L164" s="36">
        <f>L165+L166+L167+L168+L170+L169</f>
        <v>4813</v>
      </c>
      <c r="M164" s="32"/>
      <c r="N164" s="32"/>
    </row>
    <row r="165" spans="1:14" s="37" customFormat="1" ht="16.5" customHeight="1">
      <c r="A165" s="25"/>
      <c r="B165" s="56"/>
      <c r="C165" s="86"/>
      <c r="D165" s="84" t="s">
        <v>21</v>
      </c>
      <c r="E165" s="19" t="s">
        <v>233</v>
      </c>
      <c r="F165" s="19" t="s">
        <v>234</v>
      </c>
      <c r="G165" s="29">
        <v>4360900</v>
      </c>
      <c r="H165" s="29">
        <v>244</v>
      </c>
      <c r="I165" s="36">
        <f t="shared" si="2"/>
        <v>1860</v>
      </c>
      <c r="J165" s="36">
        <v>620</v>
      </c>
      <c r="K165" s="36">
        <v>620</v>
      </c>
      <c r="L165" s="36">
        <v>620</v>
      </c>
      <c r="M165" s="32"/>
      <c r="N165" s="32"/>
    </row>
    <row r="166" spans="1:14" s="37" customFormat="1" ht="16.5" customHeight="1">
      <c r="A166" s="25"/>
      <c r="B166" s="56"/>
      <c r="C166" s="86"/>
      <c r="D166" s="84"/>
      <c r="E166" s="19" t="s">
        <v>233</v>
      </c>
      <c r="F166" s="19" t="s">
        <v>235</v>
      </c>
      <c r="G166" s="29">
        <v>4360900</v>
      </c>
      <c r="H166" s="29">
        <v>244</v>
      </c>
      <c r="I166" s="36">
        <f t="shared" si="2"/>
        <v>1752</v>
      </c>
      <c r="J166" s="36">
        <v>584</v>
      </c>
      <c r="K166" s="36">
        <v>584</v>
      </c>
      <c r="L166" s="36">
        <v>584</v>
      </c>
      <c r="M166" s="32"/>
      <c r="N166" s="32"/>
    </row>
    <row r="167" spans="1:14" s="37" customFormat="1" ht="16.5" customHeight="1">
      <c r="A167" s="25"/>
      <c r="B167" s="56"/>
      <c r="C167" s="86"/>
      <c r="D167" s="84"/>
      <c r="E167" s="19" t="s">
        <v>233</v>
      </c>
      <c r="F167" s="19" t="s">
        <v>236</v>
      </c>
      <c r="G167" s="29">
        <v>4360900</v>
      </c>
      <c r="H167" s="29">
        <v>244</v>
      </c>
      <c r="I167" s="36">
        <f t="shared" si="2"/>
        <v>15</v>
      </c>
      <c r="J167" s="36">
        <v>5</v>
      </c>
      <c r="K167" s="36">
        <v>5</v>
      </c>
      <c r="L167" s="36">
        <v>5</v>
      </c>
      <c r="M167" s="32"/>
      <c r="N167" s="32"/>
    </row>
    <row r="168" spans="1:14" s="37" customFormat="1" ht="44.25" customHeight="1">
      <c r="A168" s="25"/>
      <c r="B168" s="56"/>
      <c r="C168" s="86"/>
      <c r="D168" s="87" t="s">
        <v>237</v>
      </c>
      <c r="E168" s="19" t="s">
        <v>238</v>
      </c>
      <c r="F168" s="19" t="s">
        <v>239</v>
      </c>
      <c r="G168" s="29">
        <v>4719900</v>
      </c>
      <c r="H168" s="29">
        <v>612</v>
      </c>
      <c r="I168" s="36">
        <f t="shared" si="2"/>
        <v>3372</v>
      </c>
      <c r="J168" s="36">
        <v>1124</v>
      </c>
      <c r="K168" s="36">
        <v>1124</v>
      </c>
      <c r="L168" s="36">
        <v>1124</v>
      </c>
      <c r="M168" s="32"/>
      <c r="N168" s="32"/>
    </row>
    <row r="169" spans="1:14" s="37" customFormat="1" ht="17.25" customHeight="1">
      <c r="A169" s="25"/>
      <c r="B169" s="56"/>
      <c r="C169" s="86"/>
      <c r="D169" s="84" t="s">
        <v>229</v>
      </c>
      <c r="E169" s="29">
        <v>875</v>
      </c>
      <c r="F169" s="19" t="s">
        <v>45</v>
      </c>
      <c r="G169" s="19">
        <v>4360900</v>
      </c>
      <c r="H169" s="29" t="s">
        <v>90</v>
      </c>
      <c r="I169" s="36">
        <f t="shared" si="2"/>
        <v>100</v>
      </c>
      <c r="J169" s="36">
        <v>100</v>
      </c>
      <c r="K169" s="36"/>
      <c r="L169" s="36"/>
      <c r="M169" s="32"/>
      <c r="N169" s="32"/>
    </row>
    <row r="170" spans="1:14" s="37" customFormat="1" ht="17.25">
      <c r="A170" s="25"/>
      <c r="B170" s="56"/>
      <c r="C170" s="86"/>
      <c r="D170" s="84"/>
      <c r="E170" s="29">
        <v>875</v>
      </c>
      <c r="F170" s="19" t="s">
        <v>45</v>
      </c>
      <c r="G170" s="19">
        <v>4360900</v>
      </c>
      <c r="H170" s="29" t="s">
        <v>53</v>
      </c>
      <c r="I170" s="36">
        <f t="shared" si="2"/>
        <v>2980</v>
      </c>
      <c r="J170" s="36">
        <v>500</v>
      </c>
      <c r="K170" s="36">
        <v>0</v>
      </c>
      <c r="L170" s="36">
        <v>2480</v>
      </c>
      <c r="M170" s="32"/>
      <c r="N170" s="32"/>
    </row>
    <row r="171" spans="1:14" s="37" customFormat="1" ht="15.75" customHeight="1">
      <c r="A171" s="25" t="s">
        <v>240</v>
      </c>
      <c r="B171" s="56" t="s">
        <v>241</v>
      </c>
      <c r="C171" s="86" t="s">
        <v>242</v>
      </c>
      <c r="D171" s="85"/>
      <c r="E171" s="29"/>
      <c r="F171" s="19"/>
      <c r="G171" s="19"/>
      <c r="H171" s="29"/>
      <c r="I171" s="36">
        <f t="shared" si="2"/>
        <v>28124</v>
      </c>
      <c r="J171" s="36">
        <f>J172+J173+J174+J175+J176+J177</f>
        <v>9708</v>
      </c>
      <c r="K171" s="36">
        <f>K172+K173+K174+K175+K176+K177</f>
        <v>9208</v>
      </c>
      <c r="L171" s="36">
        <f>L172+L173+L174+L175+L176+L177</f>
        <v>9208</v>
      </c>
      <c r="M171" s="32"/>
      <c r="N171" s="32"/>
    </row>
    <row r="172" spans="1:14" s="37" customFormat="1" ht="31.5">
      <c r="A172" s="25"/>
      <c r="B172" s="56"/>
      <c r="C172" s="86"/>
      <c r="D172" s="39" t="s">
        <v>22</v>
      </c>
      <c r="E172" s="29">
        <v>848</v>
      </c>
      <c r="F172" s="19" t="s">
        <v>243</v>
      </c>
      <c r="G172" s="19">
        <v>5089900</v>
      </c>
      <c r="H172" s="29">
        <v>612</v>
      </c>
      <c r="I172" s="36">
        <f t="shared" si="2"/>
        <v>1200</v>
      </c>
      <c r="J172" s="36">
        <v>400</v>
      </c>
      <c r="K172" s="36">
        <v>400</v>
      </c>
      <c r="L172" s="36">
        <v>400</v>
      </c>
      <c r="M172" s="32"/>
      <c r="N172" s="32"/>
    </row>
    <row r="173" spans="1:14" s="37" customFormat="1" ht="15.75" customHeight="1">
      <c r="A173" s="25"/>
      <c r="B173" s="56"/>
      <c r="C173" s="86"/>
      <c r="D173" s="84" t="s">
        <v>23</v>
      </c>
      <c r="E173" s="19">
        <v>851</v>
      </c>
      <c r="F173" s="19" t="s">
        <v>244</v>
      </c>
      <c r="G173" s="19" t="s">
        <v>245</v>
      </c>
      <c r="H173" s="29">
        <v>622</v>
      </c>
      <c r="I173" s="36">
        <f t="shared" si="2"/>
        <v>2640</v>
      </c>
      <c r="J173" s="36">
        <f>500+380</f>
        <v>880</v>
      </c>
      <c r="K173" s="36">
        <f>500+380</f>
        <v>880</v>
      </c>
      <c r="L173" s="36">
        <f>500+380</f>
        <v>880</v>
      </c>
      <c r="M173" s="32"/>
      <c r="N173" s="32"/>
    </row>
    <row r="174" spans="1:14" s="37" customFormat="1" ht="32.25" customHeight="1">
      <c r="A174" s="25"/>
      <c r="B174" s="56"/>
      <c r="C174" s="86"/>
      <c r="D174" s="84"/>
      <c r="E174" s="19">
        <v>851</v>
      </c>
      <c r="F174" s="19" t="s">
        <v>244</v>
      </c>
      <c r="G174" s="19" t="s">
        <v>245</v>
      </c>
      <c r="H174" s="29">
        <v>244</v>
      </c>
      <c r="I174" s="36">
        <f t="shared" si="2"/>
        <v>750</v>
      </c>
      <c r="J174" s="36">
        <v>250</v>
      </c>
      <c r="K174" s="36">
        <v>250</v>
      </c>
      <c r="L174" s="36">
        <v>250</v>
      </c>
      <c r="M174" s="32"/>
      <c r="N174" s="32"/>
    </row>
    <row r="175" spans="1:14" s="37" customFormat="1" ht="17.25" customHeight="1">
      <c r="A175" s="25"/>
      <c r="B175" s="56"/>
      <c r="C175" s="86"/>
      <c r="D175" s="87" t="s">
        <v>229</v>
      </c>
      <c r="E175" s="29">
        <v>875</v>
      </c>
      <c r="F175" s="19" t="s">
        <v>45</v>
      </c>
      <c r="G175" s="19" t="s">
        <v>216</v>
      </c>
      <c r="H175" s="29">
        <v>244</v>
      </c>
      <c r="I175" s="36">
        <f t="shared" si="2"/>
        <v>6777.92</v>
      </c>
      <c r="J175" s="36">
        <f>2437.92-500</f>
        <v>1937.92</v>
      </c>
      <c r="K175" s="36">
        <f>500+500+500+220+150+550</f>
        <v>2420</v>
      </c>
      <c r="L175" s="36">
        <f>500+500+500+220+150+550</f>
        <v>2420</v>
      </c>
      <c r="M175" s="32"/>
      <c r="N175" s="32"/>
    </row>
    <row r="176" spans="1:14" s="37" customFormat="1" ht="17.25">
      <c r="A176" s="25"/>
      <c r="B176" s="56"/>
      <c r="C176" s="86"/>
      <c r="D176" s="87"/>
      <c r="E176" s="29">
        <v>875</v>
      </c>
      <c r="F176" s="19" t="s">
        <v>45</v>
      </c>
      <c r="G176" s="19" t="s">
        <v>216</v>
      </c>
      <c r="H176" s="29">
        <v>622</v>
      </c>
      <c r="I176" s="36">
        <f t="shared" si="2"/>
        <v>8897.08</v>
      </c>
      <c r="J176" s="36">
        <f>2787.08+500</f>
        <v>3287.08</v>
      </c>
      <c r="K176" s="36">
        <f>250+160+250+250+20+20+380+300+615+220+340</f>
        <v>2805</v>
      </c>
      <c r="L176" s="36">
        <f>250+160+250+250+20+20+380+300+615+220+340</f>
        <v>2805</v>
      </c>
      <c r="M176" s="32"/>
      <c r="N176" s="32"/>
    </row>
    <row r="177" spans="1:14" s="37" customFormat="1" ht="17.25">
      <c r="A177" s="25"/>
      <c r="B177" s="56"/>
      <c r="C177" s="86"/>
      <c r="D177" s="87"/>
      <c r="E177" s="29">
        <v>875</v>
      </c>
      <c r="F177" s="19" t="s">
        <v>45</v>
      </c>
      <c r="G177" s="19" t="s">
        <v>216</v>
      </c>
      <c r="H177" s="29">
        <v>612</v>
      </c>
      <c r="I177" s="36">
        <f t="shared" si="2"/>
        <v>7859</v>
      </c>
      <c r="J177" s="36">
        <v>2953</v>
      </c>
      <c r="K177" s="36">
        <f>150+130+100+600+260+450+200+313+250</f>
        <v>2453</v>
      </c>
      <c r="L177" s="36">
        <f>150+130+100+600+260+450+200+313+250</f>
        <v>2453</v>
      </c>
      <c r="M177" s="32"/>
      <c r="N177" s="32"/>
    </row>
    <row r="178" spans="1:14" s="37" customFormat="1" ht="15.75" customHeight="1">
      <c r="A178" s="25" t="s">
        <v>246</v>
      </c>
      <c r="B178" s="56" t="s">
        <v>247</v>
      </c>
      <c r="C178" s="57" t="s">
        <v>248</v>
      </c>
      <c r="D178" s="46"/>
      <c r="E178" s="29"/>
      <c r="F178" s="19"/>
      <c r="G178" s="19"/>
      <c r="H178" s="29"/>
      <c r="I178" s="36">
        <f t="shared" si="2"/>
        <v>2359.2</v>
      </c>
      <c r="J178" s="36">
        <f>J180+J181+J182+J183+J179</f>
        <v>786.4</v>
      </c>
      <c r="K178" s="36">
        <f>K180+K181+K182+K183+K179</f>
        <v>786.4</v>
      </c>
      <c r="L178" s="36">
        <f>L180+L181+L182+L183+L179</f>
        <v>786.4</v>
      </c>
      <c r="M178" s="32"/>
      <c r="N178" s="32"/>
    </row>
    <row r="179" spans="1:14" s="37" customFormat="1" ht="15.75" customHeight="1">
      <c r="A179" s="25"/>
      <c r="B179" s="56"/>
      <c r="C179" s="57"/>
      <c r="D179" s="84" t="s">
        <v>27</v>
      </c>
      <c r="E179" s="29">
        <v>875</v>
      </c>
      <c r="F179" s="19" t="s">
        <v>79</v>
      </c>
      <c r="G179" s="19" t="s">
        <v>88</v>
      </c>
      <c r="H179" s="29">
        <v>612</v>
      </c>
      <c r="I179" s="36">
        <f t="shared" si="2"/>
        <v>30</v>
      </c>
      <c r="J179" s="36">
        <v>30</v>
      </c>
      <c r="K179" s="36">
        <v>0</v>
      </c>
      <c r="L179" s="36">
        <v>0</v>
      </c>
      <c r="M179" s="32"/>
      <c r="N179" s="32"/>
    </row>
    <row r="180" spans="1:14" s="37" customFormat="1" ht="15.75" customHeight="1">
      <c r="A180" s="25"/>
      <c r="B180" s="56"/>
      <c r="C180" s="57"/>
      <c r="D180" s="84"/>
      <c r="E180" s="29">
        <v>875</v>
      </c>
      <c r="F180" s="19" t="s">
        <v>79</v>
      </c>
      <c r="G180" s="19" t="s">
        <v>210</v>
      </c>
      <c r="H180" s="29">
        <v>622</v>
      </c>
      <c r="I180" s="36">
        <f t="shared" si="2"/>
        <v>455</v>
      </c>
      <c r="J180" s="36">
        <v>125</v>
      </c>
      <c r="K180" s="36">
        <f>10+45+40+70</f>
        <v>165</v>
      </c>
      <c r="L180" s="36">
        <f>10+45+40+70</f>
        <v>165</v>
      </c>
      <c r="M180" s="32"/>
      <c r="N180" s="32"/>
    </row>
    <row r="181" spans="1:14" s="37" customFormat="1" ht="17.25">
      <c r="A181" s="25"/>
      <c r="B181" s="56"/>
      <c r="C181" s="57"/>
      <c r="D181" s="84"/>
      <c r="E181" s="29">
        <v>875</v>
      </c>
      <c r="F181" s="19" t="s">
        <v>79</v>
      </c>
      <c r="G181" s="19" t="s">
        <v>211</v>
      </c>
      <c r="H181" s="29">
        <v>612</v>
      </c>
      <c r="I181" s="36">
        <f t="shared" si="2"/>
        <v>112.5</v>
      </c>
      <c r="J181" s="36">
        <v>17.5</v>
      </c>
      <c r="K181" s="36">
        <v>47.5</v>
      </c>
      <c r="L181" s="36">
        <v>47.5</v>
      </c>
      <c r="M181" s="32"/>
      <c r="N181" s="32"/>
    </row>
    <row r="182" spans="1:14" s="37" customFormat="1" ht="17.25">
      <c r="A182" s="25"/>
      <c r="B182" s="56"/>
      <c r="C182" s="57"/>
      <c r="D182" s="84"/>
      <c r="E182" s="29">
        <v>875</v>
      </c>
      <c r="F182" s="19" t="s">
        <v>45</v>
      </c>
      <c r="G182" s="19" t="s">
        <v>216</v>
      </c>
      <c r="H182" s="29">
        <v>244</v>
      </c>
      <c r="I182" s="36">
        <f t="shared" si="2"/>
        <v>1331.6999999999998</v>
      </c>
      <c r="J182" s="36">
        <f>423.9+0</f>
        <v>423.9</v>
      </c>
      <c r="K182" s="36">
        <f>423.9+30</f>
        <v>453.9</v>
      </c>
      <c r="L182" s="36">
        <f>423.9+30</f>
        <v>453.9</v>
      </c>
      <c r="M182" s="32"/>
      <c r="N182" s="32"/>
    </row>
    <row r="183" spans="1:14" s="37" customFormat="1" ht="17.25">
      <c r="A183" s="25"/>
      <c r="B183" s="56"/>
      <c r="C183" s="57"/>
      <c r="D183" s="84"/>
      <c r="E183" s="29">
        <v>875</v>
      </c>
      <c r="F183" s="19" t="s">
        <v>45</v>
      </c>
      <c r="G183" s="19" t="s">
        <v>216</v>
      </c>
      <c r="H183" s="29">
        <v>622</v>
      </c>
      <c r="I183" s="36">
        <f t="shared" si="2"/>
        <v>430</v>
      </c>
      <c r="J183" s="36">
        <v>190</v>
      </c>
      <c r="K183" s="36">
        <v>120</v>
      </c>
      <c r="L183" s="36">
        <v>120</v>
      </c>
      <c r="M183" s="32"/>
      <c r="N183" s="32"/>
    </row>
    <row r="184" spans="1:14" s="35" customFormat="1" ht="49.5" customHeight="1">
      <c r="A184" s="25" t="s">
        <v>249</v>
      </c>
      <c r="B184" s="44" t="s">
        <v>34</v>
      </c>
      <c r="C184" s="45" t="s">
        <v>250</v>
      </c>
      <c r="D184" s="28"/>
      <c r="E184" s="47"/>
      <c r="F184" s="26"/>
      <c r="G184" s="26"/>
      <c r="H184" s="47"/>
      <c r="I184" s="30"/>
      <c r="J184" s="30"/>
      <c r="K184" s="30"/>
      <c r="L184" s="30"/>
      <c r="M184" s="7"/>
      <c r="N184" s="7"/>
    </row>
    <row r="185" spans="1:14" s="37" customFormat="1" ht="92.25" customHeight="1">
      <c r="A185" s="25" t="s">
        <v>251</v>
      </c>
      <c r="B185" s="88" t="s">
        <v>252</v>
      </c>
      <c r="C185" s="22" t="s">
        <v>253</v>
      </c>
      <c r="D185" s="66" t="s">
        <v>27</v>
      </c>
      <c r="E185" s="29">
        <v>875</v>
      </c>
      <c r="F185" s="19" t="s">
        <v>45</v>
      </c>
      <c r="G185" s="19" t="s">
        <v>254</v>
      </c>
      <c r="H185" s="29">
        <v>330</v>
      </c>
      <c r="I185" s="36">
        <f t="shared" si="2"/>
        <v>300</v>
      </c>
      <c r="J185" s="36">
        <v>100</v>
      </c>
      <c r="K185" s="36">
        <v>100</v>
      </c>
      <c r="L185" s="36">
        <v>100</v>
      </c>
      <c r="M185" s="7"/>
      <c r="N185" s="7"/>
    </row>
    <row r="186" spans="1:14" s="37" customFormat="1" ht="119.25" customHeight="1">
      <c r="A186" s="25" t="s">
        <v>255</v>
      </c>
      <c r="B186" s="19" t="s">
        <v>256</v>
      </c>
      <c r="C186" s="89" t="s">
        <v>166</v>
      </c>
      <c r="D186" s="66" t="s">
        <v>27</v>
      </c>
      <c r="E186" s="29">
        <v>875</v>
      </c>
      <c r="F186" s="19" t="s">
        <v>45</v>
      </c>
      <c r="G186" s="19" t="s">
        <v>167</v>
      </c>
      <c r="H186" s="29">
        <v>330</v>
      </c>
      <c r="I186" s="36">
        <f t="shared" si="2"/>
        <v>340.20000000000005</v>
      </c>
      <c r="J186" s="36">
        <v>113.4</v>
      </c>
      <c r="K186" s="36">
        <v>113.4</v>
      </c>
      <c r="L186" s="36">
        <v>113.4</v>
      </c>
      <c r="M186" s="7"/>
      <c r="N186" s="7"/>
    </row>
    <row r="187" spans="1:14" s="37" customFormat="1" ht="17.25" customHeight="1">
      <c r="A187" s="25" t="s">
        <v>257</v>
      </c>
      <c r="B187" s="63" t="s">
        <v>258</v>
      </c>
      <c r="C187" s="22" t="s">
        <v>138</v>
      </c>
      <c r="D187" s="39"/>
      <c r="E187" s="29"/>
      <c r="F187" s="19"/>
      <c r="G187" s="19"/>
      <c r="H187" s="29"/>
      <c r="I187" s="36">
        <f t="shared" si="2"/>
        <v>2049</v>
      </c>
      <c r="J187" s="36">
        <f>SUM(J188:J189)</f>
        <v>683</v>
      </c>
      <c r="K187" s="36">
        <f>SUM(K188:K189)</f>
        <v>683</v>
      </c>
      <c r="L187" s="36">
        <f>SUM(L188:L189)</f>
        <v>683</v>
      </c>
      <c r="M187" s="32"/>
      <c r="N187" s="32"/>
    </row>
    <row r="188" spans="1:14" s="37" customFormat="1" ht="17.25" customHeight="1">
      <c r="A188" s="25"/>
      <c r="B188" s="63"/>
      <c r="C188" s="22"/>
      <c r="D188" s="50" t="s">
        <v>27</v>
      </c>
      <c r="E188" s="29">
        <v>875</v>
      </c>
      <c r="F188" s="19" t="s">
        <v>45</v>
      </c>
      <c r="G188" s="19" t="s">
        <v>139</v>
      </c>
      <c r="H188" s="29">
        <v>330</v>
      </c>
      <c r="I188" s="36">
        <f t="shared" si="2"/>
        <v>1449</v>
      </c>
      <c r="J188" s="36">
        <v>483</v>
      </c>
      <c r="K188" s="36">
        <v>483</v>
      </c>
      <c r="L188" s="36">
        <v>483</v>
      </c>
      <c r="M188" s="32"/>
      <c r="N188" s="32"/>
    </row>
    <row r="189" spans="1:14" s="37" customFormat="1" ht="25.5" customHeight="1">
      <c r="A189" s="25"/>
      <c r="B189" s="63"/>
      <c r="C189" s="22"/>
      <c r="D189" s="50"/>
      <c r="E189" s="29">
        <v>875</v>
      </c>
      <c r="F189" s="19" t="s">
        <v>45</v>
      </c>
      <c r="G189" s="19" t="s">
        <v>139</v>
      </c>
      <c r="H189" s="29">
        <v>330</v>
      </c>
      <c r="I189" s="36">
        <f t="shared" si="2"/>
        <v>600</v>
      </c>
      <c r="J189" s="36">
        <f>190+10</f>
        <v>200</v>
      </c>
      <c r="K189" s="36">
        <f>190+10</f>
        <v>200</v>
      </c>
      <c r="L189" s="36">
        <f>190+10</f>
        <v>200</v>
      </c>
      <c r="M189" s="32"/>
      <c r="N189" s="32"/>
    </row>
    <row r="190" spans="1:14" s="37" customFormat="1" ht="20.25" customHeight="1">
      <c r="A190" s="25" t="s">
        <v>259</v>
      </c>
      <c r="B190" s="26" t="s">
        <v>260</v>
      </c>
      <c r="C190" s="27" t="s">
        <v>261</v>
      </c>
      <c r="D190" s="28" t="s">
        <v>18</v>
      </c>
      <c r="E190" s="29"/>
      <c r="F190" s="19"/>
      <c r="G190" s="19"/>
      <c r="H190" s="29"/>
      <c r="I190" s="30">
        <f t="shared" si="2"/>
        <v>1661062.3824399998</v>
      </c>
      <c r="J190" s="30">
        <f>SUM(J192:J195)</f>
        <v>542619.6816599999</v>
      </c>
      <c r="K190" s="30">
        <f>SUM(K192:K195)</f>
        <v>551896.0359500002</v>
      </c>
      <c r="L190" s="30">
        <f>SUM(L192:L195)</f>
        <v>566546.66483</v>
      </c>
      <c r="M190" s="32"/>
      <c r="N190" s="32"/>
    </row>
    <row r="191" spans="1:14" s="37" customFormat="1" ht="59.25">
      <c r="A191" s="25"/>
      <c r="B191" s="26"/>
      <c r="C191" s="27"/>
      <c r="D191" s="28" t="s">
        <v>203</v>
      </c>
      <c r="E191" s="29">
        <v>875</v>
      </c>
      <c r="F191" s="19"/>
      <c r="G191" s="19"/>
      <c r="H191" s="29"/>
      <c r="I191" s="67"/>
      <c r="J191" s="67"/>
      <c r="K191" s="67"/>
      <c r="L191" s="67"/>
      <c r="M191" s="32"/>
      <c r="N191" s="32"/>
    </row>
    <row r="192" spans="1:14" s="37" customFormat="1" ht="31.5">
      <c r="A192" s="25"/>
      <c r="B192" s="26"/>
      <c r="C192" s="27"/>
      <c r="D192" s="38" t="s">
        <v>22</v>
      </c>
      <c r="E192" s="29">
        <v>848</v>
      </c>
      <c r="F192" s="19"/>
      <c r="G192" s="19"/>
      <c r="H192" s="29"/>
      <c r="I192" s="36">
        <f t="shared" si="2"/>
        <v>7840</v>
      </c>
      <c r="J192" s="36">
        <f>J199+J200</f>
        <v>2483.7</v>
      </c>
      <c r="K192" s="36">
        <f>K199+K200</f>
        <v>2612.8</v>
      </c>
      <c r="L192" s="36">
        <f>L199+L200</f>
        <v>2743.5</v>
      </c>
      <c r="M192" s="32"/>
      <c r="N192" s="32"/>
    </row>
    <row r="193" spans="1:14" s="37" customFormat="1" ht="47.25" customHeight="1">
      <c r="A193" s="25"/>
      <c r="B193" s="26"/>
      <c r="C193" s="27"/>
      <c r="D193" s="38" t="s">
        <v>24</v>
      </c>
      <c r="E193" s="29">
        <v>854</v>
      </c>
      <c r="F193" s="19"/>
      <c r="G193" s="19"/>
      <c r="H193" s="29"/>
      <c r="I193" s="36">
        <f t="shared" si="2"/>
        <v>627181.68244</v>
      </c>
      <c r="J193" s="36">
        <f>J201+J202+J203+J204</f>
        <v>210551.08166</v>
      </c>
      <c r="K193" s="36">
        <f>K201+K202+K203+K204</f>
        <v>207102.73595000003</v>
      </c>
      <c r="L193" s="36">
        <f>L201+L202+L203+L204</f>
        <v>209527.86483</v>
      </c>
      <c r="M193" s="32"/>
      <c r="N193" s="32"/>
    </row>
    <row r="194" spans="1:14" s="37" customFormat="1" ht="36" customHeight="1">
      <c r="A194" s="25"/>
      <c r="B194" s="26"/>
      <c r="C194" s="27"/>
      <c r="D194" s="38" t="s">
        <v>26</v>
      </c>
      <c r="E194" s="29">
        <v>864</v>
      </c>
      <c r="F194" s="19"/>
      <c r="G194" s="19"/>
      <c r="H194" s="29"/>
      <c r="I194" s="36">
        <f t="shared" si="2"/>
        <v>9450.1</v>
      </c>
      <c r="J194" s="36">
        <f>J205+J206</f>
        <v>2993.8</v>
      </c>
      <c r="K194" s="36">
        <f>K205+K206</f>
        <v>3149.4</v>
      </c>
      <c r="L194" s="36">
        <f>L205+L206</f>
        <v>3306.9</v>
      </c>
      <c r="M194" s="32"/>
      <c r="N194" s="32"/>
    </row>
    <row r="195" spans="1:14" s="37" customFormat="1" ht="31.5">
      <c r="A195" s="25"/>
      <c r="B195" s="26"/>
      <c r="C195" s="27"/>
      <c r="D195" s="38" t="s">
        <v>229</v>
      </c>
      <c r="E195" s="29">
        <v>875</v>
      </c>
      <c r="F195" s="51"/>
      <c r="G195" s="51"/>
      <c r="H195" s="25"/>
      <c r="I195" s="36">
        <f t="shared" si="2"/>
        <v>1016590.5999999999</v>
      </c>
      <c r="J195" s="36">
        <f>J198+J208+J212-J194-J193-J192</f>
        <v>326591.0999999999</v>
      </c>
      <c r="K195" s="36">
        <f>K198+K208+K212-K194-K193-K192</f>
        <v>339031.10000000003</v>
      </c>
      <c r="L195" s="36">
        <f>L198+L208+L212-L194-L193-L192</f>
        <v>350968.4</v>
      </c>
      <c r="M195" s="32"/>
      <c r="N195" s="32"/>
    </row>
    <row r="196" spans="1:14" s="35" customFormat="1" ht="31.5">
      <c r="A196" s="25" t="s">
        <v>262</v>
      </c>
      <c r="B196" s="19" t="s">
        <v>32</v>
      </c>
      <c r="C196" s="27"/>
      <c r="D196" s="28"/>
      <c r="E196" s="29"/>
      <c r="F196" s="19"/>
      <c r="G196" s="19"/>
      <c r="H196" s="29"/>
      <c r="I196" s="36"/>
      <c r="J196" s="36"/>
      <c r="K196" s="36"/>
      <c r="L196" s="36"/>
      <c r="M196" s="7"/>
      <c r="N196" s="7"/>
    </row>
    <row r="197" spans="1:14" s="35" customFormat="1" ht="27.75" customHeight="1">
      <c r="A197" s="25" t="s">
        <v>263</v>
      </c>
      <c r="B197" s="26" t="s">
        <v>34</v>
      </c>
      <c r="C197" s="45" t="s">
        <v>264</v>
      </c>
      <c r="D197" s="28"/>
      <c r="E197" s="47"/>
      <c r="F197" s="26"/>
      <c r="G197" s="26"/>
      <c r="H197" s="47"/>
      <c r="I197" s="30"/>
      <c r="J197" s="30"/>
      <c r="K197" s="30"/>
      <c r="L197" s="30"/>
      <c r="M197" s="7"/>
      <c r="N197" s="7"/>
    </row>
    <row r="198" spans="1:14" s="35" customFormat="1" ht="17.25" customHeight="1">
      <c r="A198" s="25" t="s">
        <v>265</v>
      </c>
      <c r="B198" s="19" t="s">
        <v>266</v>
      </c>
      <c r="C198" s="49" t="s">
        <v>267</v>
      </c>
      <c r="D198" s="50"/>
      <c r="E198" s="29"/>
      <c r="F198" s="19"/>
      <c r="G198" s="19"/>
      <c r="H198" s="29"/>
      <c r="I198" s="36">
        <f t="shared" si="2"/>
        <v>1317107.58244</v>
      </c>
      <c r="J198" s="36">
        <f>SUM(J199:J207)</f>
        <v>429438.98166</v>
      </c>
      <c r="K198" s="36">
        <f>SUM(K199:K207)</f>
        <v>437245.43595</v>
      </c>
      <c r="L198" s="36">
        <f>SUM(L199:L207)</f>
        <v>450423.16483</v>
      </c>
      <c r="M198" s="32"/>
      <c r="N198" s="32"/>
    </row>
    <row r="199" spans="1:14" s="35" customFormat="1" ht="17.25" customHeight="1">
      <c r="A199" s="25"/>
      <c r="B199" s="19"/>
      <c r="C199" s="49"/>
      <c r="D199" s="50" t="s">
        <v>22</v>
      </c>
      <c r="E199" s="29">
        <v>848</v>
      </c>
      <c r="F199" s="19" t="s">
        <v>243</v>
      </c>
      <c r="G199" s="19" t="s">
        <v>268</v>
      </c>
      <c r="H199" s="29">
        <v>612</v>
      </c>
      <c r="I199" s="36">
        <f t="shared" si="2"/>
        <v>1102.1</v>
      </c>
      <c r="J199" s="36">
        <v>1102.1</v>
      </c>
      <c r="K199" s="36">
        <v>0</v>
      </c>
      <c r="L199" s="36">
        <v>0</v>
      </c>
      <c r="M199" s="32"/>
      <c r="N199" s="32"/>
    </row>
    <row r="200" spans="1:14" s="35" customFormat="1" ht="17.25">
      <c r="A200" s="25"/>
      <c r="B200" s="19"/>
      <c r="C200" s="49"/>
      <c r="D200" s="50"/>
      <c r="E200" s="29">
        <v>848</v>
      </c>
      <c r="F200" s="19" t="s">
        <v>243</v>
      </c>
      <c r="G200" s="19" t="s">
        <v>269</v>
      </c>
      <c r="H200" s="29">
        <v>612</v>
      </c>
      <c r="I200" s="36">
        <f t="shared" si="2"/>
        <v>6737.9</v>
      </c>
      <c r="J200" s="36">
        <v>1381.6</v>
      </c>
      <c r="K200" s="36">
        <v>2612.8</v>
      </c>
      <c r="L200" s="36">
        <v>2743.5</v>
      </c>
      <c r="M200" s="32"/>
      <c r="N200" s="32"/>
    </row>
    <row r="201" spans="1:14" s="35" customFormat="1" ht="15.75" customHeight="1">
      <c r="A201" s="25"/>
      <c r="B201" s="19"/>
      <c r="C201" s="49"/>
      <c r="D201" s="50" t="s">
        <v>24</v>
      </c>
      <c r="E201" s="29">
        <v>854</v>
      </c>
      <c r="F201" s="19" t="s">
        <v>270</v>
      </c>
      <c r="G201" s="19" t="s">
        <v>271</v>
      </c>
      <c r="H201" s="29">
        <v>611</v>
      </c>
      <c r="I201" s="36">
        <f t="shared" si="2"/>
        <v>253434.64656</v>
      </c>
      <c r="J201" s="36">
        <v>85247.6245</v>
      </c>
      <c r="K201" s="36">
        <v>83416.67226</v>
      </c>
      <c r="L201" s="36">
        <v>84770.3498</v>
      </c>
      <c r="M201" s="32"/>
      <c r="N201" s="32"/>
    </row>
    <row r="202" spans="1:14" s="35" customFormat="1" ht="17.25">
      <c r="A202" s="25"/>
      <c r="B202" s="19"/>
      <c r="C202" s="49"/>
      <c r="D202" s="50"/>
      <c r="E202" s="29">
        <v>854</v>
      </c>
      <c r="F202" s="19" t="s">
        <v>270</v>
      </c>
      <c r="G202" s="19" t="s">
        <v>272</v>
      </c>
      <c r="H202" s="29">
        <v>621</v>
      </c>
      <c r="I202" s="36">
        <f t="shared" si="2"/>
        <v>213669.73588</v>
      </c>
      <c r="J202" s="36">
        <v>71944.35716</v>
      </c>
      <c r="K202" s="36">
        <v>70326.96369</v>
      </c>
      <c r="L202" s="36">
        <v>71398.41503</v>
      </c>
      <c r="M202" s="32"/>
      <c r="N202" s="32"/>
    </row>
    <row r="203" spans="1:14" s="35" customFormat="1" ht="17.25">
      <c r="A203" s="25"/>
      <c r="B203" s="19"/>
      <c r="C203" s="49"/>
      <c r="D203" s="50"/>
      <c r="E203" s="29">
        <v>854</v>
      </c>
      <c r="F203" s="19" t="s">
        <v>273</v>
      </c>
      <c r="G203" s="19" t="s">
        <v>274</v>
      </c>
      <c r="H203" s="29">
        <v>244</v>
      </c>
      <c r="I203" s="36">
        <f t="shared" si="2"/>
        <v>86277.29999999999</v>
      </c>
      <c r="J203" s="36">
        <v>28759.1</v>
      </c>
      <c r="K203" s="36">
        <v>28759.1</v>
      </c>
      <c r="L203" s="36">
        <v>28759.1</v>
      </c>
      <c r="M203" s="32"/>
      <c r="N203" s="32"/>
    </row>
    <row r="204" spans="1:14" s="35" customFormat="1" ht="17.25">
      <c r="A204" s="25"/>
      <c r="B204" s="19"/>
      <c r="C204" s="49"/>
      <c r="D204" s="50"/>
      <c r="E204" s="29">
        <v>854</v>
      </c>
      <c r="F204" s="19" t="s">
        <v>273</v>
      </c>
      <c r="G204" s="19" t="s">
        <v>275</v>
      </c>
      <c r="H204" s="29">
        <v>244</v>
      </c>
      <c r="I204" s="36">
        <f t="shared" si="2"/>
        <v>73800</v>
      </c>
      <c r="J204" s="36">
        <v>24600</v>
      </c>
      <c r="K204" s="36">
        <v>24600</v>
      </c>
      <c r="L204" s="36">
        <v>24600</v>
      </c>
      <c r="M204" s="32"/>
      <c r="N204" s="32"/>
    </row>
    <row r="205" spans="1:14" s="35" customFormat="1" ht="16.5" customHeight="1">
      <c r="A205" s="25"/>
      <c r="B205" s="19"/>
      <c r="C205" s="49"/>
      <c r="D205" s="50" t="s">
        <v>26</v>
      </c>
      <c r="E205" s="29">
        <v>864</v>
      </c>
      <c r="F205" s="19" t="s">
        <v>276</v>
      </c>
      <c r="G205" s="19" t="s">
        <v>210</v>
      </c>
      <c r="H205" s="29" t="s">
        <v>90</v>
      </c>
      <c r="I205" s="36">
        <f t="shared" si="2"/>
        <v>5827.5650000000005</v>
      </c>
      <c r="J205" s="36">
        <v>1846.152</v>
      </c>
      <c r="K205" s="36">
        <v>1942.153</v>
      </c>
      <c r="L205" s="36">
        <v>2039.26</v>
      </c>
      <c r="M205" s="32"/>
      <c r="N205" s="32"/>
    </row>
    <row r="206" spans="1:14" s="35" customFormat="1" ht="17.25">
      <c r="A206" s="25"/>
      <c r="B206" s="19"/>
      <c r="C206" s="49"/>
      <c r="D206" s="50"/>
      <c r="E206" s="29">
        <v>864</v>
      </c>
      <c r="F206" s="19" t="s">
        <v>276</v>
      </c>
      <c r="G206" s="19" t="s">
        <v>210</v>
      </c>
      <c r="H206" s="29" t="s">
        <v>53</v>
      </c>
      <c r="I206" s="36">
        <f t="shared" si="2"/>
        <v>3622.535</v>
      </c>
      <c r="J206" s="36">
        <v>1147.648</v>
      </c>
      <c r="K206" s="36">
        <v>1207.247</v>
      </c>
      <c r="L206" s="36">
        <v>1267.64</v>
      </c>
      <c r="M206" s="32"/>
      <c r="N206" s="32"/>
    </row>
    <row r="207" spans="1:14" s="35" customFormat="1" ht="31.5">
      <c r="A207" s="25"/>
      <c r="B207" s="19"/>
      <c r="C207" s="49"/>
      <c r="D207" s="50" t="s">
        <v>229</v>
      </c>
      <c r="E207" s="29">
        <v>875</v>
      </c>
      <c r="F207" s="19" t="s">
        <v>276</v>
      </c>
      <c r="G207" s="19" t="s">
        <v>277</v>
      </c>
      <c r="H207" s="29">
        <v>622</v>
      </c>
      <c r="I207" s="36">
        <f t="shared" si="2"/>
        <v>672635.8</v>
      </c>
      <c r="J207" s="36">
        <v>213410.4</v>
      </c>
      <c r="K207" s="36">
        <v>224380.5</v>
      </c>
      <c r="L207" s="36">
        <v>234844.9</v>
      </c>
      <c r="M207" s="32"/>
      <c r="N207" s="32"/>
    </row>
    <row r="208" spans="1:14" s="35" customFormat="1" ht="17.25" customHeight="1">
      <c r="A208" s="25" t="s">
        <v>278</v>
      </c>
      <c r="B208" s="19" t="s">
        <v>279</v>
      </c>
      <c r="C208" s="49" t="s">
        <v>280</v>
      </c>
      <c r="D208" s="50"/>
      <c r="E208" s="29"/>
      <c r="F208" s="19"/>
      <c r="G208" s="19"/>
      <c r="H208" s="29"/>
      <c r="I208" s="36">
        <f t="shared" si="2"/>
        <v>287993.4</v>
      </c>
      <c r="J208" s="36">
        <f>SUM(J209:J210)</f>
        <v>94526.9</v>
      </c>
      <c r="K208" s="36">
        <f>SUM(K209:K210)</f>
        <v>95996.8</v>
      </c>
      <c r="L208" s="36">
        <f>SUM(L209:L210)</f>
        <v>97469.7</v>
      </c>
      <c r="M208" s="32"/>
      <c r="N208" s="32"/>
    </row>
    <row r="209" spans="1:14" s="35" customFormat="1" ht="17.25" customHeight="1">
      <c r="A209" s="25"/>
      <c r="B209" s="19"/>
      <c r="C209" s="49"/>
      <c r="D209" s="50" t="s">
        <v>229</v>
      </c>
      <c r="E209" s="29">
        <v>875</v>
      </c>
      <c r="F209" s="19" t="s">
        <v>276</v>
      </c>
      <c r="G209" s="19" t="s">
        <v>277</v>
      </c>
      <c r="H209" s="29">
        <v>622</v>
      </c>
      <c r="I209" s="36">
        <f t="shared" si="2"/>
        <v>199040.09999999998</v>
      </c>
      <c r="J209" s="36">
        <v>66346.8</v>
      </c>
      <c r="K209" s="36">
        <v>66351.3</v>
      </c>
      <c r="L209" s="36">
        <v>66342</v>
      </c>
      <c r="M209" s="32"/>
      <c r="N209" s="32"/>
    </row>
    <row r="210" spans="1:14" s="35" customFormat="1" ht="16.5" customHeight="1">
      <c r="A210" s="25"/>
      <c r="B210" s="19"/>
      <c r="C210" s="49"/>
      <c r="D210" s="50"/>
      <c r="E210" s="29">
        <v>875</v>
      </c>
      <c r="F210" s="19" t="s">
        <v>276</v>
      </c>
      <c r="G210" s="19" t="s">
        <v>277</v>
      </c>
      <c r="H210" s="29">
        <v>521</v>
      </c>
      <c r="I210" s="36">
        <f t="shared" si="2"/>
        <v>88953.29999999999</v>
      </c>
      <c r="J210" s="36">
        <v>28180.1</v>
      </c>
      <c r="K210" s="36">
        <v>29645.5</v>
      </c>
      <c r="L210" s="36">
        <v>31127.7</v>
      </c>
      <c r="M210" s="32"/>
      <c r="N210" s="32"/>
    </row>
    <row r="211" spans="1:14" s="35" customFormat="1" ht="32.25" customHeight="1">
      <c r="A211" s="25" t="s">
        <v>281</v>
      </c>
      <c r="B211" s="26" t="s">
        <v>34</v>
      </c>
      <c r="C211" s="45" t="s">
        <v>282</v>
      </c>
      <c r="D211" s="28"/>
      <c r="E211" s="47"/>
      <c r="F211" s="26"/>
      <c r="G211" s="26"/>
      <c r="H211" s="47"/>
      <c r="I211" s="30"/>
      <c r="J211" s="30"/>
      <c r="K211" s="30"/>
      <c r="L211" s="30"/>
      <c r="M211" s="7"/>
      <c r="N211" s="7"/>
    </row>
    <row r="212" spans="1:14" s="35" customFormat="1" ht="17.25" customHeight="1">
      <c r="A212" s="25" t="s">
        <v>283</v>
      </c>
      <c r="B212" s="19" t="s">
        <v>284</v>
      </c>
      <c r="C212" s="49" t="s">
        <v>285</v>
      </c>
      <c r="D212" s="28"/>
      <c r="E212" s="47"/>
      <c r="F212" s="26"/>
      <c r="G212" s="26"/>
      <c r="H212" s="47"/>
      <c r="I212" s="36">
        <f t="shared" si="2"/>
        <v>55961.399999999994</v>
      </c>
      <c r="J212" s="36">
        <f>SUM(J213:J214)</f>
        <v>18653.8</v>
      </c>
      <c r="K212" s="36">
        <f>SUM(K213:K214)</f>
        <v>18653.8</v>
      </c>
      <c r="L212" s="36">
        <f>SUM(L213:L214)</f>
        <v>18653.8</v>
      </c>
      <c r="M212" s="32"/>
      <c r="N212" s="32"/>
    </row>
    <row r="213" spans="1:14" s="35" customFormat="1" ht="17.25" customHeight="1">
      <c r="A213" s="25"/>
      <c r="B213" s="19"/>
      <c r="C213" s="49"/>
      <c r="D213" s="90" t="s">
        <v>229</v>
      </c>
      <c r="E213" s="29">
        <v>875</v>
      </c>
      <c r="F213" s="19" t="s">
        <v>276</v>
      </c>
      <c r="G213" s="19" t="s">
        <v>277</v>
      </c>
      <c r="H213" s="29">
        <v>622</v>
      </c>
      <c r="I213" s="36">
        <f t="shared" si="2"/>
        <v>50100</v>
      </c>
      <c r="J213" s="36">
        <v>16700</v>
      </c>
      <c r="K213" s="36">
        <v>16700</v>
      </c>
      <c r="L213" s="36">
        <v>16700</v>
      </c>
      <c r="M213" s="32"/>
      <c r="N213" s="32"/>
    </row>
    <row r="214" spans="1:14" s="35" customFormat="1" ht="17.25">
      <c r="A214" s="25"/>
      <c r="B214" s="19"/>
      <c r="C214" s="49"/>
      <c r="D214" s="90"/>
      <c r="E214" s="29">
        <v>875</v>
      </c>
      <c r="F214" s="19" t="s">
        <v>276</v>
      </c>
      <c r="G214" s="19" t="s">
        <v>277</v>
      </c>
      <c r="H214" s="29">
        <v>612</v>
      </c>
      <c r="I214" s="36">
        <f t="shared" si="2"/>
        <v>5861.4</v>
      </c>
      <c r="J214" s="36">
        <v>1953.8</v>
      </c>
      <c r="K214" s="36">
        <v>1953.8</v>
      </c>
      <c r="L214" s="36">
        <v>1953.8</v>
      </c>
      <c r="M214" s="32"/>
      <c r="N214" s="32"/>
    </row>
    <row r="215" spans="1:14" s="35" customFormat="1" ht="17.25" customHeight="1">
      <c r="A215" s="25" t="s">
        <v>286</v>
      </c>
      <c r="B215" s="26" t="s">
        <v>287</v>
      </c>
      <c r="C215" s="45" t="s">
        <v>288</v>
      </c>
      <c r="D215" s="28" t="s">
        <v>18</v>
      </c>
      <c r="E215" s="29"/>
      <c r="F215" s="19"/>
      <c r="G215" s="19"/>
      <c r="H215" s="29"/>
      <c r="I215" s="30">
        <f t="shared" si="2"/>
        <v>14588</v>
      </c>
      <c r="J215" s="30">
        <f>SUM(J217:J217)</f>
        <v>6484</v>
      </c>
      <c r="K215" s="30">
        <f>SUM(K217:K217)</f>
        <v>4052</v>
      </c>
      <c r="L215" s="30">
        <f>SUM(L217:L217)</f>
        <v>4052</v>
      </c>
      <c r="M215" s="32"/>
      <c r="N215" s="32"/>
    </row>
    <row r="216" spans="1:14" s="35" customFormat="1" ht="59.25">
      <c r="A216" s="25"/>
      <c r="B216" s="26"/>
      <c r="C216" s="45"/>
      <c r="D216" s="28" t="s">
        <v>203</v>
      </c>
      <c r="E216" s="29">
        <v>875</v>
      </c>
      <c r="F216" s="25"/>
      <c r="G216" s="25"/>
      <c r="H216" s="25"/>
      <c r="I216" s="36"/>
      <c r="J216" s="91"/>
      <c r="K216" s="36"/>
      <c r="L216" s="36"/>
      <c r="M216" s="32"/>
      <c r="N216" s="32"/>
    </row>
    <row r="217" spans="1:14" s="35" customFormat="1" ht="31.5">
      <c r="A217" s="25"/>
      <c r="B217" s="26"/>
      <c r="C217" s="45"/>
      <c r="D217" s="72" t="s">
        <v>27</v>
      </c>
      <c r="E217" s="29">
        <v>875</v>
      </c>
      <c r="F217" s="19"/>
      <c r="G217" s="19"/>
      <c r="H217" s="29"/>
      <c r="I217" s="36">
        <f t="shared" si="2"/>
        <v>14588</v>
      </c>
      <c r="J217" s="36">
        <f>J220+J224+J228</f>
        <v>6484</v>
      </c>
      <c r="K217" s="36">
        <f>K220+K224+K228</f>
        <v>4052</v>
      </c>
      <c r="L217" s="36">
        <f>L220+L224+L228</f>
        <v>4052</v>
      </c>
      <c r="M217" s="32"/>
      <c r="N217" s="32"/>
    </row>
    <row r="218" spans="1:14" s="35" customFormat="1" ht="31.5">
      <c r="A218" s="25" t="s">
        <v>289</v>
      </c>
      <c r="B218" s="19" t="s">
        <v>32</v>
      </c>
      <c r="C218" s="45"/>
      <c r="D218" s="72"/>
      <c r="E218" s="29"/>
      <c r="F218" s="19"/>
      <c r="G218" s="19"/>
      <c r="H218" s="29"/>
      <c r="I218" s="36"/>
      <c r="J218" s="36"/>
      <c r="K218" s="36"/>
      <c r="L218" s="36"/>
      <c r="M218" s="7"/>
      <c r="N218" s="7"/>
    </row>
    <row r="219" spans="1:14" s="35" customFormat="1" ht="32.25" customHeight="1">
      <c r="A219" s="25" t="s">
        <v>290</v>
      </c>
      <c r="B219" s="26" t="s">
        <v>34</v>
      </c>
      <c r="C219" s="45" t="s">
        <v>291</v>
      </c>
      <c r="D219" s="28"/>
      <c r="E219" s="47"/>
      <c r="F219" s="26"/>
      <c r="G219" s="26"/>
      <c r="H219" s="47"/>
      <c r="I219" s="30"/>
      <c r="J219" s="30"/>
      <c r="K219" s="30"/>
      <c r="L219" s="30"/>
      <c r="M219" s="7"/>
      <c r="N219" s="7"/>
    </row>
    <row r="220" spans="1:14" s="35" customFormat="1" ht="17.25" customHeight="1">
      <c r="A220" s="25" t="s">
        <v>292</v>
      </c>
      <c r="B220" s="19" t="s">
        <v>293</v>
      </c>
      <c r="C220" s="49" t="s">
        <v>294</v>
      </c>
      <c r="D220" s="38"/>
      <c r="E220" s="47"/>
      <c r="F220" s="26"/>
      <c r="G220" s="26"/>
      <c r="H220" s="47"/>
      <c r="I220" s="30">
        <f aca="true" t="shared" si="3" ref="I220:I245">SUM(J220:L220)</f>
        <v>2562</v>
      </c>
      <c r="J220" s="36">
        <f>J221+J222</f>
        <v>854</v>
      </c>
      <c r="K220" s="36">
        <f>K221+K222</f>
        <v>854</v>
      </c>
      <c r="L220" s="36">
        <f>L221+L222</f>
        <v>854</v>
      </c>
      <c r="M220" s="32"/>
      <c r="N220" s="32"/>
    </row>
    <row r="221" spans="1:14" s="35" customFormat="1" ht="17.25" customHeight="1">
      <c r="A221" s="25"/>
      <c r="B221" s="19"/>
      <c r="C221" s="49"/>
      <c r="D221" s="90" t="s">
        <v>229</v>
      </c>
      <c r="E221" s="29">
        <v>875</v>
      </c>
      <c r="F221" s="19" t="s">
        <v>45</v>
      </c>
      <c r="G221" s="29">
        <v>4360800</v>
      </c>
      <c r="H221" s="29">
        <v>622</v>
      </c>
      <c r="I221" s="36">
        <f t="shared" si="3"/>
        <v>2100</v>
      </c>
      <c r="J221" s="36">
        <f>200+500</f>
        <v>700</v>
      </c>
      <c r="K221" s="36">
        <f>200+500</f>
        <v>700</v>
      </c>
      <c r="L221" s="36">
        <f>200+500</f>
        <v>700</v>
      </c>
      <c r="M221" s="32"/>
      <c r="N221" s="32"/>
    </row>
    <row r="222" spans="1:14" s="35" customFormat="1" ht="17.25">
      <c r="A222" s="25"/>
      <c r="B222" s="19"/>
      <c r="C222" s="49"/>
      <c r="D222" s="90"/>
      <c r="E222" s="29">
        <v>875</v>
      </c>
      <c r="F222" s="19" t="s">
        <v>45</v>
      </c>
      <c r="G222" s="29">
        <v>4360800</v>
      </c>
      <c r="H222" s="29">
        <v>244</v>
      </c>
      <c r="I222" s="36">
        <f t="shared" si="3"/>
        <v>462</v>
      </c>
      <c r="J222" s="36">
        <v>154</v>
      </c>
      <c r="K222" s="36">
        <v>154</v>
      </c>
      <c r="L222" s="36">
        <v>154</v>
      </c>
      <c r="M222" s="32"/>
      <c r="N222" s="32"/>
    </row>
    <row r="223" spans="1:14" s="35" customFormat="1" ht="63" customHeight="1">
      <c r="A223" s="25" t="s">
        <v>295</v>
      </c>
      <c r="B223" s="26" t="s">
        <v>34</v>
      </c>
      <c r="C223" s="45" t="s">
        <v>296</v>
      </c>
      <c r="D223" s="28"/>
      <c r="E223" s="47"/>
      <c r="F223" s="26"/>
      <c r="G223" s="26"/>
      <c r="H223" s="47"/>
      <c r="I223" s="30"/>
      <c r="J223" s="30"/>
      <c r="K223" s="30"/>
      <c r="L223" s="30"/>
      <c r="M223" s="7"/>
      <c r="N223" s="7"/>
    </row>
    <row r="224" spans="1:14" s="35" customFormat="1" ht="17.25" customHeight="1">
      <c r="A224" s="25" t="s">
        <v>297</v>
      </c>
      <c r="B224" s="19" t="s">
        <v>298</v>
      </c>
      <c r="C224" s="49" t="s">
        <v>299</v>
      </c>
      <c r="D224" s="38"/>
      <c r="E224" s="29"/>
      <c r="F224" s="26"/>
      <c r="G224" s="26"/>
      <c r="H224" s="47"/>
      <c r="I224" s="36">
        <f t="shared" si="3"/>
        <v>1704</v>
      </c>
      <c r="J224" s="36">
        <f>SUM(J225:J226)</f>
        <v>568</v>
      </c>
      <c r="K224" s="36">
        <f>SUM(K225:K226)</f>
        <v>568</v>
      </c>
      <c r="L224" s="36">
        <f>SUM(L225:L226)</f>
        <v>568</v>
      </c>
      <c r="M224" s="32"/>
      <c r="N224" s="32"/>
    </row>
    <row r="225" spans="1:14" s="35" customFormat="1" ht="17.25" customHeight="1">
      <c r="A225" s="25"/>
      <c r="B225" s="19"/>
      <c r="C225" s="49"/>
      <c r="D225" s="90" t="s">
        <v>229</v>
      </c>
      <c r="E225" s="29">
        <v>875</v>
      </c>
      <c r="F225" s="19" t="s">
        <v>45</v>
      </c>
      <c r="G225" s="29">
        <v>4360800</v>
      </c>
      <c r="H225" s="29">
        <v>244</v>
      </c>
      <c r="I225" s="36">
        <f t="shared" si="3"/>
        <v>1200</v>
      </c>
      <c r="J225" s="36">
        <v>400</v>
      </c>
      <c r="K225" s="36">
        <v>400</v>
      </c>
      <c r="L225" s="36">
        <v>400</v>
      </c>
      <c r="M225" s="32"/>
      <c r="N225" s="32"/>
    </row>
    <row r="226" spans="1:14" s="35" customFormat="1" ht="24" customHeight="1">
      <c r="A226" s="25"/>
      <c r="B226" s="19"/>
      <c r="C226" s="49"/>
      <c r="D226" s="90"/>
      <c r="E226" s="29">
        <v>875</v>
      </c>
      <c r="F226" s="19" t="s">
        <v>45</v>
      </c>
      <c r="G226" s="29">
        <v>4360800</v>
      </c>
      <c r="H226" s="29">
        <v>242</v>
      </c>
      <c r="I226" s="36">
        <f t="shared" si="3"/>
        <v>504</v>
      </c>
      <c r="J226" s="36">
        <v>168</v>
      </c>
      <c r="K226" s="36">
        <v>168</v>
      </c>
      <c r="L226" s="36">
        <v>168</v>
      </c>
      <c r="M226" s="32"/>
      <c r="N226" s="32"/>
    </row>
    <row r="227" spans="1:14" s="35" customFormat="1" ht="48.75" customHeight="1">
      <c r="A227" s="25" t="s">
        <v>300</v>
      </c>
      <c r="B227" s="26" t="s">
        <v>34</v>
      </c>
      <c r="C227" s="45" t="s">
        <v>301</v>
      </c>
      <c r="D227" s="28"/>
      <c r="E227" s="47"/>
      <c r="F227" s="26"/>
      <c r="G227" s="26"/>
      <c r="H227" s="47"/>
      <c r="I227" s="30"/>
      <c r="J227" s="30"/>
      <c r="K227" s="30"/>
      <c r="L227" s="30"/>
      <c r="M227" s="7"/>
      <c r="N227" s="7"/>
    </row>
    <row r="228" spans="1:14" s="35" customFormat="1" ht="43.5" customHeight="1">
      <c r="A228" s="25" t="s">
        <v>302</v>
      </c>
      <c r="B228" s="56" t="s">
        <v>303</v>
      </c>
      <c r="C228" s="77" t="s">
        <v>304</v>
      </c>
      <c r="D228" s="72" t="s">
        <v>229</v>
      </c>
      <c r="E228" s="29">
        <v>875</v>
      </c>
      <c r="F228" s="19" t="s">
        <v>45</v>
      </c>
      <c r="G228" s="29">
        <v>4360800</v>
      </c>
      <c r="H228" s="29">
        <v>622</v>
      </c>
      <c r="I228" s="36">
        <f t="shared" si="3"/>
        <v>10322</v>
      </c>
      <c r="J228" s="36">
        <v>5062</v>
      </c>
      <c r="K228" s="36">
        <v>2630</v>
      </c>
      <c r="L228" s="36">
        <v>2630</v>
      </c>
      <c r="M228" s="7"/>
      <c r="N228" s="7"/>
    </row>
    <row r="229" spans="1:14" ht="17.25" customHeight="1">
      <c r="A229" s="25" t="s">
        <v>305</v>
      </c>
      <c r="B229" s="26" t="s">
        <v>306</v>
      </c>
      <c r="C229" s="27" t="s">
        <v>307</v>
      </c>
      <c r="D229" s="28" t="s">
        <v>18</v>
      </c>
      <c r="E229" s="29"/>
      <c r="F229" s="19"/>
      <c r="G229" s="19"/>
      <c r="H229" s="29"/>
      <c r="I229" s="30">
        <f t="shared" si="3"/>
        <v>239543.6</v>
      </c>
      <c r="J229" s="30">
        <f>J231</f>
        <v>77862.4</v>
      </c>
      <c r="K229" s="30">
        <f>K231</f>
        <v>80620.2</v>
      </c>
      <c r="L229" s="30">
        <f>L231</f>
        <v>81061</v>
      </c>
      <c r="M229" s="32"/>
      <c r="N229" s="32"/>
    </row>
    <row r="230" spans="1:14" ht="71.25" customHeight="1">
      <c r="A230" s="25"/>
      <c r="B230" s="26"/>
      <c r="C230" s="27"/>
      <c r="D230" s="28" t="s">
        <v>203</v>
      </c>
      <c r="E230" s="29">
        <v>875</v>
      </c>
      <c r="F230" s="19"/>
      <c r="G230" s="19"/>
      <c r="H230" s="29"/>
      <c r="I230" s="36"/>
      <c r="J230" s="36"/>
      <c r="K230" s="36"/>
      <c r="L230" s="36"/>
      <c r="M230" s="32"/>
      <c r="N230" s="32"/>
    </row>
    <row r="231" spans="1:14" ht="31.5">
      <c r="A231" s="25"/>
      <c r="B231" s="26"/>
      <c r="C231" s="27"/>
      <c r="D231" s="38" t="s">
        <v>229</v>
      </c>
      <c r="E231" s="29">
        <v>875</v>
      </c>
      <c r="F231" s="51"/>
      <c r="G231" s="51"/>
      <c r="H231" s="25"/>
      <c r="I231" s="36">
        <f t="shared" si="3"/>
        <v>239543.6</v>
      </c>
      <c r="J231" s="36">
        <f>J234+J241</f>
        <v>77862.4</v>
      </c>
      <c r="K231" s="36">
        <f>K234+K241</f>
        <v>80620.2</v>
      </c>
      <c r="L231" s="36">
        <f>L234+L241</f>
        <v>81061</v>
      </c>
      <c r="M231" s="32"/>
      <c r="N231" s="32"/>
    </row>
    <row r="232" spans="1:12" ht="31.5">
      <c r="A232" s="25" t="s">
        <v>308</v>
      </c>
      <c r="B232" s="19" t="s">
        <v>32</v>
      </c>
      <c r="C232" s="49"/>
      <c r="D232" s="92"/>
      <c r="E232" s="25"/>
      <c r="F232" s="19"/>
      <c r="G232" s="19"/>
      <c r="H232" s="29"/>
      <c r="I232" s="36"/>
      <c r="J232" s="36"/>
      <c r="K232" s="36"/>
      <c r="L232" s="36"/>
    </row>
    <row r="233" spans="1:14" s="35" customFormat="1" ht="44.25" customHeight="1">
      <c r="A233" s="25" t="s">
        <v>309</v>
      </c>
      <c r="B233" s="26" t="s">
        <v>34</v>
      </c>
      <c r="C233" s="45" t="s">
        <v>310</v>
      </c>
      <c r="D233" s="28"/>
      <c r="E233" s="47"/>
      <c r="F233" s="26"/>
      <c r="G233" s="26"/>
      <c r="H233" s="47"/>
      <c r="I233" s="30"/>
      <c r="J233" s="30"/>
      <c r="K233" s="30"/>
      <c r="L233" s="30"/>
      <c r="M233" s="7"/>
      <c r="N233" s="7"/>
    </row>
    <row r="234" spans="1:14" ht="17.25" customHeight="1">
      <c r="A234" s="25" t="s">
        <v>311</v>
      </c>
      <c r="B234" s="19" t="s">
        <v>312</v>
      </c>
      <c r="C234" s="49" t="s">
        <v>313</v>
      </c>
      <c r="D234" s="66"/>
      <c r="E234" s="29"/>
      <c r="F234" s="19"/>
      <c r="G234" s="19"/>
      <c r="H234" s="29"/>
      <c r="I234" s="67">
        <f t="shared" si="3"/>
        <v>207796.69999999998</v>
      </c>
      <c r="J234" s="36">
        <f>SUM(J235:J240)</f>
        <v>67427.9</v>
      </c>
      <c r="K234" s="36">
        <f>SUM(K235:K240)</f>
        <v>69977.9</v>
      </c>
      <c r="L234" s="36">
        <f>SUM(L235:L240)</f>
        <v>70390.9</v>
      </c>
      <c r="M234" s="32"/>
      <c r="N234" s="32"/>
    </row>
    <row r="235" spans="1:14" ht="17.25" customHeight="1">
      <c r="A235" s="25"/>
      <c r="B235" s="19"/>
      <c r="C235" s="49"/>
      <c r="D235" s="90" t="s">
        <v>229</v>
      </c>
      <c r="E235" s="82" t="s">
        <v>52</v>
      </c>
      <c r="F235" s="19" t="s">
        <v>45</v>
      </c>
      <c r="G235" s="19" t="s">
        <v>314</v>
      </c>
      <c r="H235" s="29" t="s">
        <v>315</v>
      </c>
      <c r="I235" s="93">
        <f t="shared" si="3"/>
        <v>168531.50496</v>
      </c>
      <c r="J235" s="36">
        <v>55212.3516</v>
      </c>
      <c r="K235" s="36">
        <v>56659.57668</v>
      </c>
      <c r="L235" s="36">
        <v>56659.57668</v>
      </c>
      <c r="M235" s="32"/>
      <c r="N235" s="32"/>
    </row>
    <row r="236" spans="1:14" ht="17.25">
      <c r="A236" s="25"/>
      <c r="B236" s="19"/>
      <c r="C236" s="49"/>
      <c r="D236" s="90"/>
      <c r="E236" s="82" t="s">
        <v>52</v>
      </c>
      <c r="F236" s="19" t="s">
        <v>45</v>
      </c>
      <c r="G236" s="19" t="s">
        <v>314</v>
      </c>
      <c r="H236" s="29" t="s">
        <v>316</v>
      </c>
      <c r="I236" s="93">
        <f t="shared" si="3"/>
        <v>3955.9767</v>
      </c>
      <c r="J236" s="36">
        <v>1233.1579</v>
      </c>
      <c r="K236" s="36">
        <v>1375.9375</v>
      </c>
      <c r="L236" s="36">
        <v>1346.8813</v>
      </c>
      <c r="M236" s="32"/>
      <c r="N236" s="32"/>
    </row>
    <row r="237" spans="1:14" ht="9.75" customHeight="1">
      <c r="A237" s="25"/>
      <c r="B237" s="19"/>
      <c r="C237" s="49"/>
      <c r="D237" s="90"/>
      <c r="E237" s="82" t="s">
        <v>52</v>
      </c>
      <c r="F237" s="19" t="s">
        <v>45</v>
      </c>
      <c r="G237" s="19" t="s">
        <v>314</v>
      </c>
      <c r="H237" s="29" t="s">
        <v>105</v>
      </c>
      <c r="I237" s="93">
        <f t="shared" si="3"/>
        <v>7718.7243</v>
      </c>
      <c r="J237" s="36">
        <v>2349.6191</v>
      </c>
      <c r="K237" s="36">
        <v>2646.0245</v>
      </c>
      <c r="L237" s="36">
        <v>2723.0807</v>
      </c>
      <c r="M237" s="32"/>
      <c r="N237" s="32"/>
    </row>
    <row r="238" spans="1:14" ht="17.25">
      <c r="A238" s="25"/>
      <c r="B238" s="19"/>
      <c r="C238" s="49"/>
      <c r="D238" s="90"/>
      <c r="E238" s="82" t="s">
        <v>52</v>
      </c>
      <c r="F238" s="19" t="s">
        <v>45</v>
      </c>
      <c r="G238" s="19" t="s">
        <v>317</v>
      </c>
      <c r="H238" s="29" t="s">
        <v>315</v>
      </c>
      <c r="I238" s="93">
        <f t="shared" si="3"/>
        <v>1467.8747999999998</v>
      </c>
      <c r="J238" s="36">
        <v>489.29159999999996</v>
      </c>
      <c r="K238" s="36">
        <v>489.29159999999996</v>
      </c>
      <c r="L238" s="36">
        <v>489.29159999999996</v>
      </c>
      <c r="M238" s="32"/>
      <c r="N238" s="32"/>
    </row>
    <row r="239" spans="1:14" ht="17.25">
      <c r="A239" s="25"/>
      <c r="B239" s="19"/>
      <c r="C239" s="49"/>
      <c r="D239" s="90"/>
      <c r="E239" s="82" t="s">
        <v>52</v>
      </c>
      <c r="F239" s="19" t="s">
        <v>45</v>
      </c>
      <c r="G239" s="19" t="s">
        <v>317</v>
      </c>
      <c r="H239" s="29">
        <v>242</v>
      </c>
      <c r="I239" s="93">
        <f t="shared" si="3"/>
        <v>6707.94701</v>
      </c>
      <c r="J239" s="36">
        <f>2131.96174-130</f>
        <v>2001.9617400000002</v>
      </c>
      <c r="K239" s="36">
        <v>2350.4376899999997</v>
      </c>
      <c r="L239" s="36">
        <v>2355.54758</v>
      </c>
      <c r="M239" s="32"/>
      <c r="N239" s="32"/>
    </row>
    <row r="240" spans="1:14" ht="17.25">
      <c r="A240" s="25"/>
      <c r="B240" s="19"/>
      <c r="C240" s="49"/>
      <c r="D240" s="90"/>
      <c r="E240" s="82" t="s">
        <v>52</v>
      </c>
      <c r="F240" s="19" t="s">
        <v>45</v>
      </c>
      <c r="G240" s="19" t="s">
        <v>317</v>
      </c>
      <c r="H240" s="29" t="s">
        <v>105</v>
      </c>
      <c r="I240" s="93">
        <f t="shared" si="3"/>
        <v>19414.672230000004</v>
      </c>
      <c r="J240" s="36">
        <f>6011.51806+130</f>
        <v>6141.51806</v>
      </c>
      <c r="K240" s="36">
        <v>6456.632030000001</v>
      </c>
      <c r="L240" s="36">
        <v>6816.52214</v>
      </c>
      <c r="M240" s="32"/>
      <c r="N240" s="32"/>
    </row>
    <row r="241" spans="1:14" ht="17.25" customHeight="1">
      <c r="A241" s="25" t="s">
        <v>318</v>
      </c>
      <c r="B241" s="29" t="s">
        <v>319</v>
      </c>
      <c r="C241" s="49" t="s">
        <v>320</v>
      </c>
      <c r="D241" s="90"/>
      <c r="E241" s="82"/>
      <c r="F241" s="19"/>
      <c r="G241" s="19"/>
      <c r="H241" s="29"/>
      <c r="I241" s="67">
        <f t="shared" si="3"/>
        <v>31746.9</v>
      </c>
      <c r="J241" s="36">
        <f>SUM(J242:J245)</f>
        <v>10434.5</v>
      </c>
      <c r="K241" s="36">
        <f>SUM(K242:K245)</f>
        <v>10642.3</v>
      </c>
      <c r="L241" s="36">
        <f>SUM(L242:L245)</f>
        <v>10670.1</v>
      </c>
      <c r="M241" s="32"/>
      <c r="N241" s="32"/>
    </row>
    <row r="242" spans="1:14" ht="15.75" customHeight="1">
      <c r="A242" s="25"/>
      <c r="B242" s="29"/>
      <c r="C242" s="49"/>
      <c r="D242" s="90"/>
      <c r="E242" s="82" t="s">
        <v>52</v>
      </c>
      <c r="F242" s="19" t="s">
        <v>45</v>
      </c>
      <c r="G242" s="19" t="s">
        <v>321</v>
      </c>
      <c r="H242" s="29" t="s">
        <v>315</v>
      </c>
      <c r="I242" s="93">
        <f t="shared" si="3"/>
        <v>22543.29811</v>
      </c>
      <c r="J242" s="36">
        <v>7342.81267</v>
      </c>
      <c r="K242" s="36">
        <v>7600.24272</v>
      </c>
      <c r="L242" s="36">
        <v>7600.24272</v>
      </c>
      <c r="M242" s="32"/>
      <c r="N242" s="32"/>
    </row>
    <row r="243" spans="1:14" ht="17.25">
      <c r="A243" s="25"/>
      <c r="B243" s="29"/>
      <c r="C243" s="49"/>
      <c r="D243" s="90"/>
      <c r="E243" s="82" t="s">
        <v>52</v>
      </c>
      <c r="F243" s="19" t="s">
        <v>45</v>
      </c>
      <c r="G243" s="19" t="s">
        <v>321</v>
      </c>
      <c r="H243" s="29" t="s">
        <v>316</v>
      </c>
      <c r="I243" s="93">
        <f t="shared" si="3"/>
        <v>620</v>
      </c>
      <c r="J243" s="36">
        <f>140+200</f>
        <v>340</v>
      </c>
      <c r="K243" s="36">
        <v>140</v>
      </c>
      <c r="L243" s="36">
        <v>140</v>
      </c>
      <c r="M243" s="32"/>
      <c r="N243" s="32"/>
    </row>
    <row r="244" spans="1:20" ht="17.25">
      <c r="A244" s="25"/>
      <c r="B244" s="29"/>
      <c r="C244" s="49"/>
      <c r="D244" s="90"/>
      <c r="E244" s="82" t="s">
        <v>52</v>
      </c>
      <c r="F244" s="19" t="s">
        <v>45</v>
      </c>
      <c r="G244" s="19" t="s">
        <v>321</v>
      </c>
      <c r="H244" s="29">
        <v>242</v>
      </c>
      <c r="I244" s="94">
        <f t="shared" si="3"/>
        <v>1108.78777</v>
      </c>
      <c r="J244" s="36">
        <f>423.49473-135</f>
        <v>288.49473</v>
      </c>
      <c r="K244" s="36">
        <v>403.54326000000003</v>
      </c>
      <c r="L244" s="36">
        <v>416.74978000000004</v>
      </c>
      <c r="M244" s="32"/>
      <c r="N244" s="32"/>
      <c r="O244" s="95"/>
      <c r="P244" s="95"/>
      <c r="Q244" s="95"/>
      <c r="R244" s="37"/>
      <c r="S244" s="42"/>
      <c r="T244" s="52"/>
    </row>
    <row r="245" spans="1:14" ht="17.25">
      <c r="A245" s="25"/>
      <c r="B245" s="29"/>
      <c r="C245" s="49"/>
      <c r="D245" s="90"/>
      <c r="E245" s="82" t="s">
        <v>52</v>
      </c>
      <c r="F245" s="19" t="s">
        <v>45</v>
      </c>
      <c r="G245" s="19" t="s">
        <v>321</v>
      </c>
      <c r="H245" s="29" t="s">
        <v>105</v>
      </c>
      <c r="I245" s="93">
        <f t="shared" si="3"/>
        <v>7474.814119999999</v>
      </c>
      <c r="J245" s="36">
        <f>2528.1926-65</f>
        <v>2463.1926</v>
      </c>
      <c r="K245" s="36">
        <v>2498.5140199999996</v>
      </c>
      <c r="L245" s="36">
        <v>2513.1075</v>
      </c>
      <c r="M245" s="32"/>
      <c r="N245" s="32"/>
    </row>
    <row r="246" spans="3:12" ht="17.25">
      <c r="C246" s="96"/>
      <c r="L246" s="6" t="s">
        <v>322</v>
      </c>
    </row>
    <row r="247" ht="16.5">
      <c r="C247" s="96"/>
    </row>
    <row r="253" spans="8:19" ht="17.25">
      <c r="H253" s="97" t="s">
        <v>323</v>
      </c>
      <c r="I253" s="6">
        <f>SUM(J253:L253)</f>
        <v>1037152</v>
      </c>
      <c r="J253" s="6">
        <f>J19</f>
        <v>498374</v>
      </c>
      <c r="K253" s="6">
        <f>K19</f>
        <v>344389</v>
      </c>
      <c r="L253" s="6">
        <f>L19</f>
        <v>194389</v>
      </c>
      <c r="N253" s="98">
        <v>382874</v>
      </c>
      <c r="O253" s="52">
        <v>344389</v>
      </c>
      <c r="P253" s="52">
        <v>194389</v>
      </c>
      <c r="Q253" s="52">
        <f>N253-J253</f>
        <v>-115500</v>
      </c>
      <c r="R253" s="52">
        <f aca="true" t="shared" si="4" ref="R253:S260">O253-K253</f>
        <v>0</v>
      </c>
      <c r="S253" s="52">
        <f t="shared" si="4"/>
        <v>0</v>
      </c>
    </row>
    <row r="254" spans="8:19" ht="17.25">
      <c r="H254" s="97" t="s">
        <v>71</v>
      </c>
      <c r="I254" s="6">
        <f aca="true" t="shared" si="5" ref="I254:I260">SUM(J254:L254)</f>
        <v>20062073.63337</v>
      </c>
      <c r="J254" s="6">
        <f>J36</f>
        <v>7311134.91799</v>
      </c>
      <c r="K254" s="6">
        <f>K36</f>
        <v>6417522.76852</v>
      </c>
      <c r="L254" s="6">
        <f>L36</f>
        <v>6333415.9468600005</v>
      </c>
      <c r="N254" s="98">
        <v>7237822.60454</v>
      </c>
      <c r="O254" s="52">
        <v>6417522.76852</v>
      </c>
      <c r="P254" s="52">
        <v>6333415.9468600005</v>
      </c>
      <c r="Q254" s="52">
        <f aca="true" t="shared" si="6" ref="Q254:Q260">N254-J254</f>
        <v>-73312.31345000025</v>
      </c>
      <c r="R254" s="52">
        <f t="shared" si="4"/>
        <v>0</v>
      </c>
      <c r="S254" s="52">
        <f t="shared" si="4"/>
        <v>0</v>
      </c>
    </row>
    <row r="255" spans="8:19" ht="17.25">
      <c r="H255" s="97" t="s">
        <v>142</v>
      </c>
      <c r="I255" s="6">
        <f t="shared" si="5"/>
        <v>6955865.86603</v>
      </c>
      <c r="J255" s="6">
        <f>J89</f>
        <v>2248896.0792400003</v>
      </c>
      <c r="K255" s="6">
        <f>K89</f>
        <v>2348086.7298799995</v>
      </c>
      <c r="L255" s="6">
        <f>L89</f>
        <v>2358883.05691</v>
      </c>
      <c r="N255" s="98">
        <v>2246984.87924</v>
      </c>
      <c r="O255" s="52">
        <v>2348086.7298799995</v>
      </c>
      <c r="P255" s="52">
        <v>2358883.0569100003</v>
      </c>
      <c r="Q255" s="52">
        <f t="shared" si="6"/>
        <v>-1911.2000000001863</v>
      </c>
      <c r="R255" s="52">
        <f t="shared" si="4"/>
        <v>0</v>
      </c>
      <c r="S255" s="52">
        <f t="shared" si="4"/>
        <v>0</v>
      </c>
    </row>
    <row r="256" spans="8:19" ht="17.25">
      <c r="H256" s="97" t="s">
        <v>324</v>
      </c>
      <c r="I256" s="6">
        <f t="shared" si="5"/>
        <v>5163851.775570003</v>
      </c>
      <c r="J256" s="6">
        <f>J132</f>
        <v>1810478.1463199998</v>
      </c>
      <c r="K256" s="6">
        <f>K132</f>
        <v>1669809.8762000033</v>
      </c>
      <c r="L256" s="6">
        <f>L132</f>
        <v>1683563.7530499995</v>
      </c>
      <c r="N256" s="98">
        <v>1795795.3463199998</v>
      </c>
      <c r="O256" s="52">
        <v>1669809.8762000033</v>
      </c>
      <c r="P256" s="52">
        <v>1683563.7530499995</v>
      </c>
      <c r="Q256" s="52">
        <f t="shared" si="6"/>
        <v>-14682.800000000047</v>
      </c>
      <c r="R256" s="52">
        <f t="shared" si="4"/>
        <v>0</v>
      </c>
      <c r="S256" s="52">
        <f t="shared" si="4"/>
        <v>0</v>
      </c>
    </row>
    <row r="257" spans="8:19" ht="17.25">
      <c r="H257" s="97" t="s">
        <v>325</v>
      </c>
      <c r="I257" s="6">
        <f t="shared" si="5"/>
        <v>1661062.3824399998</v>
      </c>
      <c r="J257" s="6">
        <f>J190</f>
        <v>542619.6816599999</v>
      </c>
      <c r="K257" s="6">
        <f>K190</f>
        <v>551896.0359500002</v>
      </c>
      <c r="L257" s="6">
        <f>L190</f>
        <v>566546.66483</v>
      </c>
      <c r="N257" s="98">
        <v>542619.6816599999</v>
      </c>
      <c r="O257" s="52">
        <v>551896.03595</v>
      </c>
      <c r="P257" s="52">
        <v>566546.66483</v>
      </c>
      <c r="Q257" s="52">
        <f t="shared" si="6"/>
        <v>0</v>
      </c>
      <c r="R257" s="52">
        <f t="shared" si="4"/>
        <v>0</v>
      </c>
      <c r="S257" s="52">
        <f t="shared" si="4"/>
        <v>0</v>
      </c>
    </row>
    <row r="258" spans="8:19" ht="17.25">
      <c r="H258" s="97" t="s">
        <v>326</v>
      </c>
      <c r="I258" s="6">
        <f t="shared" si="5"/>
        <v>14588</v>
      </c>
      <c r="J258" s="6">
        <f>J215</f>
        <v>6484</v>
      </c>
      <c r="K258" s="6">
        <f>K215</f>
        <v>4052</v>
      </c>
      <c r="L258" s="6">
        <f>L215</f>
        <v>4052</v>
      </c>
      <c r="N258" s="98">
        <v>6484</v>
      </c>
      <c r="O258" s="52">
        <v>4052</v>
      </c>
      <c r="P258" s="52">
        <v>4052</v>
      </c>
      <c r="Q258" s="52">
        <f t="shared" si="6"/>
        <v>0</v>
      </c>
      <c r="R258" s="52">
        <f t="shared" si="4"/>
        <v>0</v>
      </c>
      <c r="S258" s="52">
        <f t="shared" si="4"/>
        <v>0</v>
      </c>
    </row>
    <row r="259" spans="8:19" ht="17.25">
      <c r="H259" s="97" t="s">
        <v>327</v>
      </c>
      <c r="I259" s="6">
        <f t="shared" si="5"/>
        <v>239543.6</v>
      </c>
      <c r="J259" s="6">
        <f>J229</f>
        <v>77862.4</v>
      </c>
      <c r="K259" s="6">
        <f>K229</f>
        <v>80620.2</v>
      </c>
      <c r="L259" s="6">
        <f>L229</f>
        <v>81061</v>
      </c>
      <c r="N259" s="98">
        <v>77862.4</v>
      </c>
      <c r="O259" s="52">
        <v>80620.2</v>
      </c>
      <c r="P259" s="52">
        <v>81061</v>
      </c>
      <c r="Q259" s="52">
        <f t="shared" si="6"/>
        <v>0</v>
      </c>
      <c r="R259" s="52">
        <f t="shared" si="4"/>
        <v>0</v>
      </c>
      <c r="S259" s="52">
        <f t="shared" si="4"/>
        <v>0</v>
      </c>
    </row>
    <row r="260" spans="8:19" ht="16.5">
      <c r="H260" s="97" t="s">
        <v>328</v>
      </c>
      <c r="I260" s="6">
        <f t="shared" si="5"/>
        <v>35134137.257410005</v>
      </c>
      <c r="J260" s="6">
        <f>SUM(J253:J259)</f>
        <v>12495849.225210002</v>
      </c>
      <c r="K260" s="6">
        <f>SUM(K253:K259)</f>
        <v>11416376.610550001</v>
      </c>
      <c r="L260" s="6">
        <f>SUM(L253:L259)</f>
        <v>11221911.42165</v>
      </c>
      <c r="N260" s="98">
        <f>SUM(N253:N259)</f>
        <v>12290442.91176</v>
      </c>
      <c r="O260" s="98">
        <f>SUM(O253:O259)</f>
        <v>11416376.610550001</v>
      </c>
      <c r="P260" s="98">
        <f>SUM(P253:P259)</f>
        <v>11221911.42165</v>
      </c>
      <c r="Q260" s="52">
        <f t="shared" si="6"/>
        <v>-205406.31345000118</v>
      </c>
      <c r="R260" s="52">
        <f t="shared" si="4"/>
        <v>0</v>
      </c>
      <c r="S260" s="52">
        <f t="shared" si="4"/>
        <v>0</v>
      </c>
    </row>
  </sheetData>
  <sheetProtection selectLockedCells="1" selectUnlockedCells="1"/>
  <autoFilter ref="B8:T246"/>
  <mergeCells count="148">
    <mergeCell ref="I1:L1"/>
    <mergeCell ref="I2:L2"/>
    <mergeCell ref="I3:L3"/>
    <mergeCell ref="B4:L4"/>
    <mergeCell ref="A6:A7"/>
    <mergeCell ref="B6:B7"/>
    <mergeCell ref="C6:C7"/>
    <mergeCell ref="D6:D7"/>
    <mergeCell ref="E6:H6"/>
    <mergeCell ref="I6:L6"/>
    <mergeCell ref="A9:A18"/>
    <mergeCell ref="B9:B18"/>
    <mergeCell ref="C9:C18"/>
    <mergeCell ref="A19:A22"/>
    <mergeCell ref="B19:B22"/>
    <mergeCell ref="C19:C22"/>
    <mergeCell ref="A25:A26"/>
    <mergeCell ref="B25:B26"/>
    <mergeCell ref="C25:C26"/>
    <mergeCell ref="D25:D26"/>
    <mergeCell ref="A33:A34"/>
    <mergeCell ref="B33:B34"/>
    <mergeCell ref="C33:C34"/>
    <mergeCell ref="D33:D34"/>
    <mergeCell ref="A36:A39"/>
    <mergeCell ref="B36:B39"/>
    <mergeCell ref="C36:C39"/>
    <mergeCell ref="A42:A44"/>
    <mergeCell ref="B42:B44"/>
    <mergeCell ref="C42:C44"/>
    <mergeCell ref="D43:D44"/>
    <mergeCell ref="A45:A50"/>
    <mergeCell ref="B45:B50"/>
    <mergeCell ref="C45:C50"/>
    <mergeCell ref="D46:D50"/>
    <mergeCell ref="A53:A65"/>
    <mergeCell ref="B53:B65"/>
    <mergeCell ref="C53:C65"/>
    <mergeCell ref="D54:D65"/>
    <mergeCell ref="A66:A68"/>
    <mergeCell ref="B66:B68"/>
    <mergeCell ref="C66:C68"/>
    <mergeCell ref="D67:D68"/>
    <mergeCell ref="A71:A73"/>
    <mergeCell ref="B71:B73"/>
    <mergeCell ref="C71:C73"/>
    <mergeCell ref="D72:D73"/>
    <mergeCell ref="A76:A78"/>
    <mergeCell ref="B76:B78"/>
    <mergeCell ref="C76:C78"/>
    <mergeCell ref="D77:D78"/>
    <mergeCell ref="A79:A87"/>
    <mergeCell ref="B79:B87"/>
    <mergeCell ref="C79:C87"/>
    <mergeCell ref="D80:D87"/>
    <mergeCell ref="A89:A92"/>
    <mergeCell ref="B89:B92"/>
    <mergeCell ref="C89:C92"/>
    <mergeCell ref="A95:A106"/>
    <mergeCell ref="B95:B106"/>
    <mergeCell ref="C95:C106"/>
    <mergeCell ref="D96:D98"/>
    <mergeCell ref="D100:D106"/>
    <mergeCell ref="A107:A113"/>
    <mergeCell ref="B107:B113"/>
    <mergeCell ref="C107:C113"/>
    <mergeCell ref="D108:D109"/>
    <mergeCell ref="A114:A116"/>
    <mergeCell ref="B114:B116"/>
    <mergeCell ref="C114:C116"/>
    <mergeCell ref="A121:A123"/>
    <mergeCell ref="B121:B123"/>
    <mergeCell ref="C121:C123"/>
    <mergeCell ref="A127:A129"/>
    <mergeCell ref="B127:B129"/>
    <mergeCell ref="C127:C129"/>
    <mergeCell ref="D128:D129"/>
    <mergeCell ref="A132:A138"/>
    <mergeCell ref="B132:B138"/>
    <mergeCell ref="C132:C138"/>
    <mergeCell ref="A141:A147"/>
    <mergeCell ref="B141:B147"/>
    <mergeCell ref="C141:C147"/>
    <mergeCell ref="D142:D146"/>
    <mergeCell ref="A151:A158"/>
    <mergeCell ref="B151:B158"/>
    <mergeCell ref="C151:C158"/>
    <mergeCell ref="D152:D158"/>
    <mergeCell ref="A159:A163"/>
    <mergeCell ref="B159:B163"/>
    <mergeCell ref="C159:C163"/>
    <mergeCell ref="D160:D163"/>
    <mergeCell ref="A164:A170"/>
    <mergeCell ref="B164:B170"/>
    <mergeCell ref="C164:C170"/>
    <mergeCell ref="D165:D167"/>
    <mergeCell ref="D169:D170"/>
    <mergeCell ref="A171:A177"/>
    <mergeCell ref="B171:B177"/>
    <mergeCell ref="C171:C177"/>
    <mergeCell ref="D173:D174"/>
    <mergeCell ref="D175:D177"/>
    <mergeCell ref="A178:A183"/>
    <mergeCell ref="B178:B183"/>
    <mergeCell ref="C178:C183"/>
    <mergeCell ref="D179:D183"/>
    <mergeCell ref="A187:A189"/>
    <mergeCell ref="B187:B189"/>
    <mergeCell ref="C187:C189"/>
    <mergeCell ref="D188:D189"/>
    <mergeCell ref="A190:A195"/>
    <mergeCell ref="B190:B195"/>
    <mergeCell ref="C190:C195"/>
    <mergeCell ref="A198:A207"/>
    <mergeCell ref="B198:B207"/>
    <mergeCell ref="C198:C207"/>
    <mergeCell ref="D199:D200"/>
    <mergeCell ref="D201:D204"/>
    <mergeCell ref="D205:D206"/>
    <mergeCell ref="A208:A210"/>
    <mergeCell ref="B208:B210"/>
    <mergeCell ref="C208:C210"/>
    <mergeCell ref="D209:D210"/>
    <mergeCell ref="A212:A214"/>
    <mergeCell ref="B212:B214"/>
    <mergeCell ref="C212:C214"/>
    <mergeCell ref="D213:D214"/>
    <mergeCell ref="A215:A217"/>
    <mergeCell ref="B215:B217"/>
    <mergeCell ref="C215:C217"/>
    <mergeCell ref="A220:A222"/>
    <mergeCell ref="B220:B222"/>
    <mergeCell ref="C220:C222"/>
    <mergeCell ref="D221:D222"/>
    <mergeCell ref="A224:A226"/>
    <mergeCell ref="B224:B226"/>
    <mergeCell ref="C224:C226"/>
    <mergeCell ref="D225:D226"/>
    <mergeCell ref="A229:A231"/>
    <mergeCell ref="B229:B231"/>
    <mergeCell ref="C229:C231"/>
    <mergeCell ref="A234:A240"/>
    <mergeCell ref="B234:B240"/>
    <mergeCell ref="C234:C240"/>
    <mergeCell ref="D235:D245"/>
    <mergeCell ref="A241:A245"/>
    <mergeCell ref="B241:B245"/>
    <mergeCell ref="C241:C245"/>
  </mergeCells>
  <printOptions/>
  <pageMargins left="0.7083333333333334" right="0.7083333333333334" top="0.7479166666666667" bottom="0.7486111111111111" header="0.5118055555555555" footer="0.31527777777777777"/>
  <pageSetup fitToHeight="0" fitToWidth="1" horizontalDpi="300" verticalDpi="300" orientation="landscape" paperSize="9"/>
  <headerFooter alignWithMargins="0">
    <oddFooter>&amp;CСтраница &amp;P</oddFooter>
  </headerFooter>
  <rowBreaks count="2" manualBreakCount="2">
    <brk id="75" max="255" man="1"/>
    <brk id="21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435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Ekaterina Khazova</cp:lastModifiedBy>
  <cp:lastPrinted>2013-09-12T12:08:42Z</cp:lastPrinted>
  <dcterms:created xsi:type="dcterms:W3CDTF">2011-03-10T11:10:46Z</dcterms:created>
  <dcterms:modified xsi:type="dcterms:W3CDTF">2013-10-31T06:11:00Z</dcterms:modified>
  <cp:category/>
  <cp:version/>
  <cp:contentType/>
  <cp:contentStatus/>
  <cp:revision>28</cp:revision>
</cp:coreProperties>
</file>