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таблица 5 (рес.обесп)  (2)" sheetId="1" r:id="rId1"/>
    <sheet name="таблица 5 (свернут) " sheetId="2" r:id="rId2"/>
  </sheets>
  <externalReferences>
    <externalReference r:id="rId5"/>
  </externalReferences>
  <definedNames>
    <definedName name="_xlnm.Print_Area" localSheetId="0">'таблица 5 (рес.обесп)  (2)'!$A$1:$R$78</definedName>
    <definedName name="_xlnm.Print_Titles" localSheetId="0">'таблица 5 (рес.обесп)  (2)'!$5:$7</definedName>
    <definedName name="_xlnm._FilterDatabase" localSheetId="0" hidden="1">'таблица 5 (рес.обесп)  (2)'!$A$7:$S$7</definedName>
    <definedName name="_xlnm.Print_Area" localSheetId="1">'таблица 5 (свернут) '!$A$1:$R$73</definedName>
    <definedName name="_xlnm.Print_Titles" localSheetId="1">'таблица 5 (свернут) '!$5:$7</definedName>
    <definedName name="_xlnm._FilterDatabase" localSheetId="1" hidden="1">'таблица 5 (свернут) '!$A$7:$S$7</definedName>
  </definedNames>
  <calcPr fullCalcOnLoad="1"/>
</workbook>
</file>

<file path=xl/sharedStrings.xml><?xml version="1.0" encoding="utf-8"?>
<sst xmlns="http://schemas.openxmlformats.org/spreadsheetml/2006/main" count="478" uniqueCount="183">
  <si>
    <t>5 таблица</t>
  </si>
  <si>
    <t>Коми Республикаса республиканскӧй сьӧмкуд сьӧм тшӧт весьтӧ канму уджтас збыльмӧдӧм ресурсъясӧн могмӧдӧм (федеральнӧй сьӧмкуд сьӧм урчитӧмӧн) (сюрс шайт)</t>
  </si>
  <si>
    <t>Статус</t>
  </si>
  <si>
    <t>Канму уджтаслӧн, канму уджтасса уджтасувлӧн, дыр кадся республиканскӧй торъя мога уджтаслӧн (дыр кадся республиканскӧй торъя мога уджтасса уджтасувлӧн), ведомствоа торъя мога уджтаслӧн, медшӧр мероприятиелӧн ним</t>
  </si>
  <si>
    <t>Кывкутӧмӧн збыльмӧдысь, тшӧтш вӧчысьяс, канму тшӧктысь-удж ӧтувтысь</t>
  </si>
  <si>
    <t xml:space="preserve">Сьӧмкуд классификация код </t>
  </si>
  <si>
    <t>Рӧскод (сюрс шайт), вояс</t>
  </si>
  <si>
    <t>Каналан Сӧветлӧн косму тӧлысся сессия-2013 да кӧч тӧлысся</t>
  </si>
  <si>
    <t>ГРБС</t>
  </si>
  <si>
    <t>Рз
Пр</t>
  </si>
  <si>
    <t>ЦСР</t>
  </si>
  <si>
    <t>ВР</t>
  </si>
  <si>
    <t>Канму уджтас</t>
  </si>
  <si>
    <t>«Физическӧй культура да спорт сӧвмӧдӧм»</t>
  </si>
  <si>
    <t>ставнас</t>
  </si>
  <si>
    <t>Х</t>
  </si>
  <si>
    <t>Коми Республикаса канму уджтас</t>
  </si>
  <si>
    <t>Канму уджтассӧ кывкутӧмӧн збыльмӧдысь Коми Республикаса спорт да мортӧс ёнмӧдан агентство</t>
  </si>
  <si>
    <t>обший БА по росписи Агентства</t>
  </si>
  <si>
    <t>Коми Республикаса архитектура, стрӧитчӧм да коммунальнӧй овмӧс министерство</t>
  </si>
  <si>
    <t>другие ГП и непрграммные</t>
  </si>
  <si>
    <t>Министерство здравоохранения Республики Коми</t>
  </si>
  <si>
    <t>Коми Республикаса йӧзӧс велӧдан министерство</t>
  </si>
  <si>
    <t xml:space="preserve">на сент плюс на ЗП музей </t>
  </si>
  <si>
    <t>Коми Республикаса культура министерство</t>
  </si>
  <si>
    <t>по ГП спорт д.б.</t>
  </si>
  <si>
    <t>Коми Республикаса печать да юӧр сетан агентство</t>
  </si>
  <si>
    <t>нехватка по ГП спорт ( забыли включить ПНО стипендии0</t>
  </si>
  <si>
    <t>1 уджтасув</t>
  </si>
  <si>
    <t>"Физическӧй культура да спорт инфраструктура сӧвмӧдӧм"</t>
  </si>
  <si>
    <t>Медшӧр мероприятиеяс</t>
  </si>
  <si>
    <t xml:space="preserve">Канму коланлун серти спорт объектъяс стрӧитӧм да выльмӧдӧм </t>
  </si>
  <si>
    <t>1101    1102
1103</t>
  </si>
  <si>
    <t>Уджалысь канму спорт сооружениеяс выльмӧдӧм</t>
  </si>
  <si>
    <t>Коми Республикаса спорт да мортӧс ёнмӧдан агентство</t>
  </si>
  <si>
    <t>Уджалысь муниципальнӧй спорт сооружениеяс выльмӧдӧм</t>
  </si>
  <si>
    <t>Спорт туйвизя канму учреждениеяс спорт оборудованиеӧн да транспортӧн могмӧдӧм</t>
  </si>
  <si>
    <t xml:space="preserve">Спорт туйвизя муниципальнӧй учреждениеяс да муниципальнӧй юкӧнъяс спорт оборудованиеӧн да транспортӧн могмӧдӧм </t>
  </si>
  <si>
    <t>5129700</t>
  </si>
  <si>
    <t>2 уджтасув</t>
  </si>
  <si>
    <t>«Уна йӧза физическӧй культура»</t>
  </si>
  <si>
    <t>Физическӧй культура да спорт юкӧнын Коми Республикаса олӧмӧ пӧртысь власьт органъяслысь меставывса асвеськӧдлан органъяскӧд да юридическӧй кывкутысьяскӧд ӧтувъя удж бурмӧдӧм</t>
  </si>
  <si>
    <t>Спорт федерацияясӧс аккредитуйтӧм</t>
  </si>
  <si>
    <t xml:space="preserve"> Физкультура да спорт туйвизя учреждениеясӧн канму услугаяс сетӧм (уджъяс вӧчӧм) </t>
  </si>
  <si>
    <t>1101</t>
  </si>
  <si>
    <t>08020201</t>
  </si>
  <si>
    <t>инвалиды</t>
  </si>
  <si>
    <t>цсм</t>
  </si>
  <si>
    <t>Коми Республикаса олысьяс пӧвстын физическӧй культура да спорт паськӧдӧм</t>
  </si>
  <si>
    <t>стадион</t>
  </si>
  <si>
    <t>на муниц.цсм</t>
  </si>
  <si>
    <t>Коми Республикаын спорт йылысь выльторъяс ӧдйӧ пыртӧм могысь Коми Республикаса спорт да мортӧс ёнмӧдан агентстволӧн официальнӧй сайтлысь удж могмӧдӧм (доменнӧй инним, серверын сайт меститӧм)</t>
  </si>
  <si>
    <t>Йӧзлы, сы лыдын дзоньвидзалунын дзескӧдӧм позянлуна йӧзлы, официальнӧй физкультурно-оздоровительнӧй да спорт мероприятиеяс котыртӧм, нуӧдӧм</t>
  </si>
  <si>
    <t>08020401</t>
  </si>
  <si>
    <t>612</t>
  </si>
  <si>
    <t>Физическӧй культура да спорт юкӧнын специалистъясӧс дасьтӧм да налысь тӧдӧмлунъяс бурмӧдӧм котыртӧм</t>
  </si>
  <si>
    <t>Физическӧй культура да спорт юкӧнса ведомствоӧ пырӧм вылӧ видзӧдтӧг уджалысь специалистъяслы семинаръяс, гӧгрӧс пызанъяс котыртӧм да нуӧдӧм</t>
  </si>
  <si>
    <t>3 уджтасув</t>
  </si>
  <si>
    <t xml:space="preserve"> «Спорт видзас дасьтӧм»</t>
  </si>
  <si>
    <t>проверка</t>
  </si>
  <si>
    <t>Челядьлы содтӧд тӧдӧмлун сетан физкультурно-оздоровительнӧй туйвизя организацияясӧн канму услугаяс сетӧм (уджъяс вӧчӧм)</t>
  </si>
  <si>
    <t>0702</t>
  </si>
  <si>
    <t>08030101</t>
  </si>
  <si>
    <t>611</t>
  </si>
  <si>
    <t>дюсш бюдж</t>
  </si>
  <si>
    <t>621</t>
  </si>
  <si>
    <t>юность</t>
  </si>
  <si>
    <t>Спортинвентарь ДЮСШ и фед субсидия СДЮШОР 1154 т.р.</t>
  </si>
  <si>
    <t>622</t>
  </si>
  <si>
    <t>Спортинвентарь</t>
  </si>
  <si>
    <t xml:space="preserve">Физкультура да спорт туйвизя учреждениеясӧн канму услугаяс сетӧм (уджъяс вӧчӧм) </t>
  </si>
  <si>
    <t>1103</t>
  </si>
  <si>
    <t>08030102</t>
  </si>
  <si>
    <t xml:space="preserve">цспск компУТС </t>
  </si>
  <si>
    <t>Челядьлы содтӧд тӧдӧмлун сетан физкультурно-оздоровительнӧй туйвизя канму организацияяслысь материально-техническӧй подувсӧ бурмӧдӧм</t>
  </si>
  <si>
    <t>08030103</t>
  </si>
  <si>
    <t>оснс</t>
  </si>
  <si>
    <t>Челядьлы содтӧд тӧдӧмлун сетан физкультурно-оздоровительнӧй туйвизя муниципальнӧй организацияяслысь материально-техническӧй подувсӧ бурмӧдӧм</t>
  </si>
  <si>
    <t>1102</t>
  </si>
  <si>
    <t>5210115</t>
  </si>
  <si>
    <t>укр.мтб муниц</t>
  </si>
  <si>
    <t>Спорт видзас дасьтан системалы вылыс квалификацияа тренер кадръяс дасьтӧм</t>
  </si>
  <si>
    <t>Бурджыка квалифицируйтӧм специалистъяс воӧм могысь материальнӧй да моральнӧй ышӧданаторъяс лӧсьӧдӧм</t>
  </si>
  <si>
    <t>Водзӧ лача сетысь да енбиа спортсменъясӧс тӧдмалӧм могысь официальнӧй муниципалитеткостса да республикаса ордйысьӧмъяс котыртӧм, нуӧдӧм</t>
  </si>
  <si>
    <t>08030301</t>
  </si>
  <si>
    <t>ЕКП 1102+допризынвая</t>
  </si>
  <si>
    <t xml:space="preserve">4 уджтасув </t>
  </si>
  <si>
    <t>«Медыджыд шедӧдӧмторъяслӧн спорт»</t>
  </si>
  <si>
    <t>Физкультура да спорт туйвизя учреждениеясӧн вылыс класса спортсменъясӧс дасьтӧм кузя канму услугаяс сетӧм (уджъяс вӧчӧм)</t>
  </si>
  <si>
    <t>08040101</t>
  </si>
  <si>
    <t xml:space="preserve">
611</t>
  </si>
  <si>
    <t xml:space="preserve">инв </t>
  </si>
  <si>
    <t xml:space="preserve">
621</t>
  </si>
  <si>
    <t>цспск гз</t>
  </si>
  <si>
    <t>иные суб и фед субсидия ЦСПСК 4634,018 т.р.</t>
  </si>
  <si>
    <t>Физкультура да спорт туйвизя учреждениеяслысь материально-техническӧй подувсӧ бурмӧдӧм</t>
  </si>
  <si>
    <t>08040102</t>
  </si>
  <si>
    <t>цспск субсидия на иные цели + кап.ремонт системы отопления</t>
  </si>
  <si>
    <t>Медыджыд шедӧдӧмторъяслӧн профессиональнӧй спорт сӧвмӧдӧмын канму отсӧг сетӧм</t>
  </si>
  <si>
    <t>08040201</t>
  </si>
  <si>
    <t xml:space="preserve">Профессиональнӧй командаяслысь да ТСШ-яслысь ӧтувъя удж бурмӧдӧм кузя план лӧсьӧдӧм </t>
  </si>
  <si>
    <t>«Медыджыд шедӧдӧмторъяслӧн спорт юкӧнын Коми Республикаса торъя стипендияяс йылысь» Коми Республикаса Веськӧдлан котырлӧн 2011 вося кӧч тӧлысь 12 лунся 378 №-а шуӧм олӧмӧ пӧртӧм</t>
  </si>
  <si>
    <t xml:space="preserve">
1103</t>
  </si>
  <si>
    <t>08044006</t>
  </si>
  <si>
    <t xml:space="preserve">
330</t>
  </si>
  <si>
    <t xml:space="preserve"> «Коми Республикаын физическӧй культура да спорт юкӧнын ӧткымын юалӧм йылысь» Коми Республикаса Оланпас збыльмӧдӧм кузя мераяс йылысь» Коми Республикаса Веськӧдлан котырлӧн 2008 вося вӧльгым тӧлысь 17 лунся 316 №-а шуӧм олӧмӧ пӧртӧм </t>
  </si>
  <si>
    <t xml:space="preserve">
1103</t>
  </si>
  <si>
    <t>08044007</t>
  </si>
  <si>
    <t xml:space="preserve"> «Коми Республика водзын торъя заслугаясысь спортсменъясӧс нэм чӧж кежлӧ индӧм быд тӧлысся материальнӧя могмӧдӧм йылысь» Коми Республикаса Веськӧдлан котырлӧн 2007 вося рака тӧлысь 5 лунся 10-РЗ №-а шуӧм олӧмӧ пӧртӧм </t>
  </si>
  <si>
    <t>0113</t>
  </si>
  <si>
    <t>08044008</t>
  </si>
  <si>
    <t>Официальнӧй регионкостстса, ставроссияса да войтыркостса ордйысьӧмъяс Коми Республика мутасын котыртӧм да нуӧдӧм, а сідзжӧ Коми Республикаса спортсменъяслӧн наын участвуйтӧм могмӧдӧм</t>
  </si>
  <si>
    <t>08040304</t>
  </si>
  <si>
    <t xml:space="preserve">
622</t>
  </si>
  <si>
    <t xml:space="preserve">5 уджтасув  </t>
  </si>
  <si>
    <t xml:space="preserve">"Канму уджтас збыльмӧдӧм могмӧдӧм" 5 уджтасув </t>
  </si>
  <si>
    <t>Коми Республикаса Юралысьӧн либӧ Коми Республикаса Веськӧдлан котырӧн артмӧдӧм Коми Республикаса канму органъяслӧн урчитӧм уджмогъяс юкӧнын индӧд да веськӧдлӧм</t>
  </si>
  <si>
    <t>08058204</t>
  </si>
  <si>
    <t>121
122 242
244</t>
  </si>
  <si>
    <t>с КВР 242</t>
  </si>
  <si>
    <t>Коми Республикаса спорт да мортӧс ёнмӧдан агентствоӧн канмулысь мукӧд кӧсйысьӧм збыльмӧдӧм</t>
  </si>
  <si>
    <t xml:space="preserve">
244
831</t>
  </si>
  <si>
    <t>Уджтасъяс збыльмӧдӧмын окталун донъялӧм (ылӧсалан мониторинг) да уджтасъяслысь петкӧдласъяс стӧчмӧдӧм кузя вӧзйӧмъяс пыртӧм (планируйтӧм медшӧр да медбӧръя бӧртасъяс шедӧдӧм йылысь мониторинг нуӧдӧм)</t>
  </si>
  <si>
    <t xml:space="preserve">5 таблица </t>
  </si>
  <si>
    <t>Канму уджтаслӧн, канму уджтасса уджтасув, дыр кадся республиканскӧй торъя мога уджтас (дыр кадся республиканскӧй торъя мога уджтасса уджтасув), ведомствоа торъя мога уджтас, медшӧр мероприятие ним</t>
  </si>
  <si>
    <t xml:space="preserve">Код бюджетной классификации </t>
  </si>
  <si>
    <t>Расходы
(тыс. руб.), годы</t>
  </si>
  <si>
    <t>Апрельская и сентябрьская сессия Госсовета 2013</t>
  </si>
  <si>
    <t>тшӧтш вӧчысьяс, канму тшӧктысь-удж ӧтувтысь</t>
  </si>
  <si>
    <t>«Физическӧй культура да спорт сӧвмӧдӧм»
Коми Республикаса канму уджтас</t>
  </si>
  <si>
    <t>канму уджтассӧ кывкутӧмӧн збыльмӧдысь                     Коми Республикаса спорт да мортӧс ёнмӧдан агентство</t>
  </si>
  <si>
    <t>обший БА по росписи Агентстваъ</t>
  </si>
  <si>
    <t>«Физическӧй культура да спорт инфраструктура сӧвмӧдӧм»</t>
  </si>
  <si>
    <t>канму уджтассӧ кывкутӧмӧн збыльмӧдысь                        Коми Республикаса спорт да мортӧс ёнмӧдан агентство</t>
  </si>
  <si>
    <t xml:space="preserve">1.01.01. Канму коланлун серти спорт объектъяс стрӧитӧм да выльмӧдӧм </t>
  </si>
  <si>
    <t>1.01.02. Сыктывкарын Петрозаводск улича пӧлӧн варччанін стрӧитӧм</t>
  </si>
  <si>
    <t>1.01.03. Сыктывкарын В.Савин улича, 81/1,  уджалан здание быд сикас спорт комплекс улӧ выльмӧдӧм (2 тшупӧд)</t>
  </si>
  <si>
    <t xml:space="preserve">1.01.04. Муниципальнӧй юкӧнъясын спорт объектъяс стрӧитӧмын да выльмӧдӧмын отсӧг сетӧм   </t>
  </si>
  <si>
    <t>Модернизация действующих государственных спортивных сооружений</t>
  </si>
  <si>
    <t>Агентство Республики Коми по физической культуре и спорту</t>
  </si>
  <si>
    <t>Модернизация действующих муниципальных спортивных сооружений</t>
  </si>
  <si>
    <t>Министерство архитектуры, строительства и коммунального хозяйства Республики Коми</t>
  </si>
  <si>
    <t>Обеспечение государственных учреждений спортивной направленности спортивным оборудованием и транспортом</t>
  </si>
  <si>
    <t xml:space="preserve">1.03.02. Спорт туйвизя муниципальнӧй учреждениеяс да муниципальнӧй юкӧнъяс спорт оборудованиеӧн да транспортӧн могмӧдӧм </t>
  </si>
  <si>
    <t>1.03.03.  Коми Республикаса муниципальнӧй юкӧнъясын физическӧй культура да спорт юкӧнын ичӧт проектъяс збыльмӧдӧмын канму отсӧг сетӧм</t>
  </si>
  <si>
    <t>Совершенствование взаимодействия органов исполнительной власти Республики Коми в области физической культуры и спорта с органами местного самоупрвления и юридическими лицами</t>
  </si>
  <si>
    <t>Аккредитация спортивных федераций</t>
  </si>
  <si>
    <t xml:space="preserve">2.02.01.  Физкультура да спорт туйвизя учреждениеясӧн канму услугаяс сетӧм (уджъяс вӧчӧм) </t>
  </si>
  <si>
    <t>инв+цсм</t>
  </si>
  <si>
    <t>2.02.02. Физкультура да спорт туйвизя учреждениеяслысь материально-техническӧй подув бурмӧдӧм</t>
  </si>
  <si>
    <t>2.03.01.  Коми Республикаса олысьяс пӧвстын физическӧй культура да спорт паськӧдӧм</t>
  </si>
  <si>
    <t>агентство по печати</t>
  </si>
  <si>
    <t>Обеспечение работы официального сайта Агентства Республики Коми по физической культуре и спорту (содержание доменного имени, размещение сайта на сервере) в целях оперативного размещения новостей о спорте в Республике Коми</t>
  </si>
  <si>
    <t>2.04.01. Йӧзлы, сы лыдын дзоньвидзалунын дзескӧдӧм позянлуна йӧзлы, официальнӧй физкультурно-оздоровительнӧй да спорт мероприятиеяс котыртӧм, нуӧдӧм</t>
  </si>
  <si>
    <t xml:space="preserve">Организация подготовки и переподготовки специалистов в сфере физической культуры и спорта  </t>
  </si>
  <si>
    <t>Организация и проведение семинаров, круглых столов для специалистов, работающих независимо от ведомственной принадлежности в сфере физической культуры и спорта</t>
  </si>
  <si>
    <t>3.01.01.Челядьлы содтӧд тӧдӧмлун сетан физкультура да спорт туйвизя организацияясӧн канму услугаяс сетӧм (уджъяс вӧчӧм)</t>
  </si>
  <si>
    <t>дюсш бюдж+авт+ спортинвентарь</t>
  </si>
  <si>
    <t xml:space="preserve">3.01.02. Физкультура да спорт туйвизя учреждениеясӧн канму услугаяс сетӧм (уджъяс вӧчӧм) </t>
  </si>
  <si>
    <t>цспск комп</t>
  </si>
  <si>
    <t>3.01.03. Челядьлы содтӧд тӧдӧмлун сетан физкультура да спорт туйвизя канму организацияяслысь материально-техническӧй подув бурмӧдӧм</t>
  </si>
  <si>
    <t>основн.сред</t>
  </si>
  <si>
    <t>3.01.04. Челядьлы содтӧд тӧдӧмлун сетан физкультура да спорт туйвизя муниципальнӧй организацияяслысь материально-техническӧй подув бурмӧдӧм</t>
  </si>
  <si>
    <t>08.2.0401</t>
  </si>
  <si>
    <t>3.03.01. Водзӧ лача сетысь да енбиа спортсменъясӧс тӧдмалӧм могысь официальнӧй муниципалитеткостса да республикаса ордйысьӧмъяс котыртӧм, нуӧдӧм</t>
  </si>
  <si>
    <t>«Медыджыд вермӧмъяслӧн спорт»</t>
  </si>
  <si>
    <t>канму уджтассӧ кывкутӧмӧн збыльмӧдысь Коми Республикаса спорт да мортӧс ёнмӧдан агентство</t>
  </si>
  <si>
    <t>4.01.01. Физкультура да спорт туйвизя учреждениеясӧн вылыс класса спортсменъясӧс дасьтӧм кузя канму услугаяс сетӧм (уджъяс вӧчӧм)</t>
  </si>
  <si>
    <t>цспск+инв269,4</t>
  </si>
  <si>
    <t>4.01.02. Физкультура да спорт туйвизя учреждениеяслысь материально-техническӧй подув бурмӧдӧм</t>
  </si>
  <si>
    <t>осн.ср.цспск</t>
  </si>
  <si>
    <t>4.02.01. Медыджыд вермӧмъяслӧн профессиональнӧй спорт сӧвмӧдӧмын канму отсӧг сетӧм</t>
  </si>
  <si>
    <t>08.3.0301</t>
  </si>
  <si>
    <t>Разработка плана по улучшению взаимодействия профессиональных команд и ДЮСШ</t>
  </si>
  <si>
    <t>4.03.01. «Медыджыд вермӧмъяслӧн спорт юкӧнын Коми Республикаса торъя стипендияяс йылысь» Коми Республикаса Веськӧдлан котырлӧн 2011 во кӧч тӧлысь 12 лунся 378 №-а шуӧм олӧмӧ пӧртӧм</t>
  </si>
  <si>
    <t xml:space="preserve">4.03.02. «Коми Республикаын физическӧй культура да спорт юкӧнын ӧткымын юалӧм йылысь» Коми Республикаса оланпас збыльмӧдӧм кузя мераяс йылысь» Коми Республикаса Веськӧдлан котырлӧн 2008 во вӧльгым тӧлысь 17 лунся 316 №-а шуӧм олӧмӧ пӧртӧм </t>
  </si>
  <si>
    <t xml:space="preserve">4.03.03. «Коми Республика водзын торъя заслугаысь спортсменъясӧс нэм чӧж быд тӧлысь материальнӧя могмӧдӧм йылысь» Коми Республикаса 2007 во рака тӧлысь 5 лунся 10-РЗ №-а  оланпас олӧмӧ пӧртӧм </t>
  </si>
  <si>
    <t>4.03.04. Коми Республика мутасын официальнӧй регионкостса, ставроссияса да войтыркостса ордйысьӧмъяс  котыртӧм да нуӧдӧм, а сідзжӧ Коми Республикаса спортсменъяслӧн наын участвуйтӧм могмӧдӧм</t>
  </si>
  <si>
    <t>цсм, ин</t>
  </si>
  <si>
    <t xml:space="preserve">«Канму уджтас збыльмӧдӧм могмӧдӧм» </t>
  </si>
  <si>
    <t>5.01.01. Коми Республикаса канму власьт органъясӧн,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 (шӧр аппарат)</t>
  </si>
  <si>
    <t>5.01.02. Коми Республикаса спорт да мортӧс ёнмӧдан агентствоӧн канмулысь мукӧд кӧсйысьӧм збыльмӧдӧм</t>
  </si>
  <si>
    <t>Анализ оценки эффективности реализации программ  (предварительный мониторинг) и внесение  предложений по корректировке показателей программ (Мониторинг достижения запланированных непосредственных и конечных результатов)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</si>
</sst>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0.0"/>
    <numFmt numFmtId="168" formatCode="#,##0.0"/>
    <numFmt numFmtId="169" formatCode="0.00"/>
    <numFmt numFmtId="170" formatCode="0"/>
    <numFmt numFmtId="171" formatCode="DD/MM/YYYY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.5"/>
      <name val="Arial Cyr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89">
    <xf numFmtId="164" fontId="0" fillId="0" borderId="0" xfId="0" applyAlignment="1">
      <alignment/>
    </xf>
    <xf numFmtId="164" fontId="3" fillId="0" borderId="0" xfId="21" applyFont="1" applyFill="1" applyAlignment="1">
      <alignment wrapText="1"/>
      <protection/>
    </xf>
    <xf numFmtId="164" fontId="3" fillId="0" borderId="0" xfId="21" applyFont="1" applyFill="1">
      <alignment/>
      <protection/>
    </xf>
    <xf numFmtId="165" fontId="3" fillId="0" borderId="0" xfId="21" applyNumberFormat="1" applyFont="1" applyFill="1">
      <alignment/>
      <protection/>
    </xf>
    <xf numFmtId="164" fontId="3" fillId="2" borderId="0" xfId="21" applyFont="1" applyFill="1">
      <alignment/>
      <protection/>
    </xf>
    <xf numFmtId="164" fontId="4" fillId="0" borderId="0" xfId="21" applyFont="1" applyFill="1">
      <alignment/>
      <protection/>
    </xf>
    <xf numFmtId="164" fontId="3" fillId="2" borderId="0" xfId="21" applyFont="1" applyFill="1" applyAlignment="1">
      <alignment horizontal="right"/>
      <protection/>
    </xf>
    <xf numFmtId="164" fontId="3" fillId="0" borderId="0" xfId="21" applyFont="1" applyFill="1" applyAlignment="1">
      <alignment horizontal="right"/>
      <protection/>
    </xf>
    <xf numFmtId="164" fontId="5" fillId="0" borderId="0" xfId="21" applyFont="1" applyFill="1" applyAlignment="1">
      <alignment horizontal="right"/>
      <protection/>
    </xf>
    <xf numFmtId="164" fontId="6" fillId="0" borderId="0" xfId="21" applyFont="1" applyFill="1" applyBorder="1" applyAlignment="1">
      <alignment horizont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horizontal="center"/>
      <protection/>
    </xf>
    <xf numFmtId="164" fontId="3" fillId="0" borderId="1" xfId="21" applyFont="1" applyFill="1" applyBorder="1" applyAlignment="1">
      <alignment horizontal="center" vertical="center"/>
      <protection/>
    </xf>
    <xf numFmtId="164" fontId="3" fillId="0" borderId="0" xfId="21" applyFont="1" applyFill="1" applyBorder="1" applyAlignment="1">
      <alignment vertical="center"/>
      <protection/>
    </xf>
    <xf numFmtId="164" fontId="7" fillId="0" borderId="0" xfId="21" applyFont="1" applyFill="1">
      <alignment/>
      <protection/>
    </xf>
    <xf numFmtId="165" fontId="7" fillId="0" borderId="1" xfId="21" applyNumberFormat="1" applyFont="1" applyFill="1" applyBorder="1" applyAlignment="1">
      <alignment horizontal="center" vertical="center" wrapText="1"/>
      <protection/>
    </xf>
    <xf numFmtId="164" fontId="7" fillId="2" borderId="1" xfId="21" applyFont="1" applyFill="1" applyBorder="1" applyAlignment="1">
      <alignment horizontal="center" vertical="center" wrapText="1"/>
      <protection/>
    </xf>
    <xf numFmtId="164" fontId="7" fillId="0" borderId="0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/>
      <protection/>
    </xf>
    <xf numFmtId="165" fontId="7" fillId="0" borderId="1" xfId="21" applyNumberFormat="1" applyFont="1" applyFill="1" applyBorder="1" applyAlignment="1">
      <alignment horizontal="center" vertical="center"/>
      <protection/>
    </xf>
    <xf numFmtId="164" fontId="7" fillId="2" borderId="1" xfId="21" applyFont="1" applyFill="1" applyBorder="1" applyAlignment="1">
      <alignment horizontal="center" vertical="center"/>
      <protection/>
    </xf>
    <xf numFmtId="164" fontId="7" fillId="0" borderId="0" xfId="21" applyFont="1" applyFill="1" applyBorder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3" fillId="0" borderId="1" xfId="21" applyFont="1" applyFill="1" applyBorder="1" applyAlignment="1">
      <alignment horizontal="left" vertical="top" wrapText="1"/>
      <protection/>
    </xf>
    <xf numFmtId="164" fontId="8" fillId="0" borderId="1" xfId="21" applyFont="1" applyFill="1" applyBorder="1" applyAlignment="1">
      <alignment horizontal="left" wrapText="1"/>
      <protection/>
    </xf>
    <xf numFmtId="164" fontId="8" fillId="0" borderId="1" xfId="21" applyFont="1" applyFill="1" applyBorder="1" applyAlignment="1">
      <alignment horizontal="center"/>
      <protection/>
    </xf>
    <xf numFmtId="165" fontId="8" fillId="0" borderId="1" xfId="21" applyNumberFormat="1" applyFont="1" applyFill="1" applyBorder="1" applyAlignment="1">
      <alignment horizontal="center"/>
      <protection/>
    </xf>
    <xf numFmtId="166" fontId="8" fillId="0" borderId="1" xfId="21" applyNumberFormat="1" applyFont="1" applyFill="1" applyBorder="1" applyAlignment="1">
      <alignment horizontal="center"/>
      <protection/>
    </xf>
    <xf numFmtId="167" fontId="8" fillId="0" borderId="1" xfId="21" applyNumberFormat="1" applyFont="1" applyFill="1" applyBorder="1" applyAlignment="1">
      <alignment horizontal="center"/>
      <protection/>
    </xf>
    <xf numFmtId="167" fontId="8" fillId="2" borderId="1" xfId="21" applyNumberFormat="1" applyFont="1" applyFill="1" applyBorder="1" applyAlignment="1">
      <alignment horizontal="center"/>
      <protection/>
    </xf>
    <xf numFmtId="167" fontId="4" fillId="0" borderId="0" xfId="21" applyNumberFormat="1" applyFont="1" applyFill="1">
      <alignment/>
      <protection/>
    </xf>
    <xf numFmtId="167" fontId="7" fillId="0" borderId="0" xfId="21" applyNumberFormat="1" applyFont="1" applyFill="1">
      <alignment/>
      <protection/>
    </xf>
    <xf numFmtId="166" fontId="9" fillId="0" borderId="1" xfId="21" applyNumberFormat="1" applyFont="1" applyFill="1" applyBorder="1">
      <alignment/>
      <protection/>
    </xf>
    <xf numFmtId="167" fontId="9" fillId="0" borderId="1" xfId="21" applyNumberFormat="1" applyFont="1" applyFill="1" applyBorder="1" applyAlignment="1">
      <alignment horizontal="center"/>
      <protection/>
    </xf>
    <xf numFmtId="167" fontId="9" fillId="2" borderId="1" xfId="21" applyNumberFormat="1" applyFont="1" applyFill="1" applyBorder="1" applyAlignment="1">
      <alignment horizontal="center"/>
      <protection/>
    </xf>
    <xf numFmtId="164" fontId="7" fillId="0" borderId="1" xfId="21" applyFont="1" applyFill="1" applyBorder="1" applyAlignment="1">
      <alignment wrapText="1"/>
      <protection/>
    </xf>
    <xf numFmtId="164" fontId="7" fillId="0" borderId="1" xfId="21" applyFont="1" applyFill="1" applyBorder="1">
      <alignment/>
      <protection/>
    </xf>
    <xf numFmtId="164" fontId="8" fillId="3" borderId="1" xfId="21" applyFont="1" applyFill="1" applyBorder="1" applyAlignment="1">
      <alignment horizontal="left" vertical="center" wrapText="1"/>
      <protection/>
    </xf>
    <xf numFmtId="164" fontId="7" fillId="0" borderId="0" xfId="21" applyFont="1" applyFill="1" applyAlignment="1">
      <alignment wrapText="1"/>
      <protection/>
    </xf>
    <xf numFmtId="167" fontId="7" fillId="0" borderId="1" xfId="21" applyNumberFormat="1" applyFont="1" applyFill="1" applyBorder="1">
      <alignment/>
      <protection/>
    </xf>
    <xf numFmtId="164" fontId="7" fillId="3" borderId="1" xfId="21" applyFont="1" applyFill="1" applyBorder="1" applyAlignment="1">
      <alignment horizontal="left" vertical="top" wrapText="1"/>
      <protection/>
    </xf>
    <xf numFmtId="164" fontId="9" fillId="3" borderId="1" xfId="21" applyFont="1" applyFill="1" applyBorder="1" applyAlignment="1">
      <alignment vertical="top" wrapText="1"/>
      <protection/>
    </xf>
    <xf numFmtId="164" fontId="9" fillId="3" borderId="1" xfId="21" applyFont="1" applyFill="1" applyBorder="1" applyAlignment="1">
      <alignment horizontal="left" vertical="center" wrapText="1"/>
      <protection/>
    </xf>
    <xf numFmtId="164" fontId="9" fillId="3" borderId="1" xfId="21" applyFont="1" applyFill="1" applyBorder="1" applyAlignment="1">
      <alignment horizontal="center"/>
      <protection/>
    </xf>
    <xf numFmtId="165" fontId="9" fillId="3" borderId="1" xfId="21" applyNumberFormat="1" applyFont="1" applyFill="1" applyBorder="1" applyAlignment="1">
      <alignment horizontal="center"/>
      <protection/>
    </xf>
    <xf numFmtId="166" fontId="9" fillId="3" borderId="1" xfId="21" applyNumberFormat="1" applyFont="1" applyFill="1" applyBorder="1">
      <alignment/>
      <protection/>
    </xf>
    <xf numFmtId="167" fontId="9" fillId="3" borderId="1" xfId="21" applyNumberFormat="1" applyFont="1" applyFill="1" applyBorder="1" applyAlignment="1">
      <alignment horizontal="center"/>
      <protection/>
    </xf>
    <xf numFmtId="167" fontId="4" fillId="3" borderId="0" xfId="21" applyNumberFormat="1" applyFont="1" applyFill="1">
      <alignment/>
      <protection/>
    </xf>
    <xf numFmtId="164" fontId="7" fillId="3" borderId="0" xfId="21" applyFont="1" applyFill="1">
      <alignment/>
      <protection/>
    </xf>
    <xf numFmtId="164" fontId="3" fillId="3" borderId="1" xfId="21" applyFont="1" applyFill="1" applyBorder="1" applyAlignment="1">
      <alignment horizontal="left" vertical="center" wrapText="1"/>
      <protection/>
    </xf>
    <xf numFmtId="164" fontId="4" fillId="3" borderId="0" xfId="21" applyFont="1" applyFill="1">
      <alignment/>
      <protection/>
    </xf>
    <xf numFmtId="167" fontId="7" fillId="3" borderId="0" xfId="21" applyNumberFormat="1" applyFont="1" applyFill="1">
      <alignment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vertical="top" wrapText="1"/>
      <protection/>
    </xf>
    <xf numFmtId="164" fontId="3" fillId="3" borderId="1" xfId="21" applyFont="1" applyFill="1" applyBorder="1" applyAlignment="1">
      <alignment horizontal="left" vertical="top" wrapText="1"/>
      <protection/>
    </xf>
    <xf numFmtId="164" fontId="3" fillId="3" borderId="1" xfId="21" applyFont="1" applyFill="1" applyBorder="1" applyAlignment="1">
      <alignment horizontal="center"/>
      <protection/>
    </xf>
    <xf numFmtId="164" fontId="3" fillId="3" borderId="1" xfId="21" applyFont="1" applyFill="1" applyBorder="1" applyAlignment="1">
      <alignment horizontal="center" wrapText="1"/>
      <protection/>
    </xf>
    <xf numFmtId="165" fontId="3" fillId="3" borderId="1" xfId="21" applyNumberFormat="1" applyFont="1" applyFill="1" applyBorder="1" applyAlignment="1">
      <alignment horizontal="center" wrapText="1"/>
      <protection/>
    </xf>
    <xf numFmtId="166" fontId="3" fillId="3" borderId="1" xfId="21" applyNumberFormat="1" applyFont="1" applyFill="1" applyBorder="1">
      <alignment/>
      <protection/>
    </xf>
    <xf numFmtId="167" fontId="3" fillId="3" borderId="1" xfId="21" applyNumberFormat="1" applyFont="1" applyFill="1" applyBorder="1" applyAlignment="1">
      <alignment horizontal="center"/>
      <protection/>
    </xf>
    <xf numFmtId="167" fontId="3" fillId="0" borderId="1" xfId="21" applyNumberFormat="1" applyFont="1" applyFill="1" applyBorder="1" applyAlignment="1">
      <alignment horizontal="center"/>
      <protection/>
    </xf>
    <xf numFmtId="164" fontId="3" fillId="3" borderId="0" xfId="21" applyFont="1" applyFill="1" applyAlignment="1">
      <alignment horizontal="center" wrapText="1"/>
      <protection/>
    </xf>
    <xf numFmtId="165" fontId="3" fillId="3" borderId="1" xfId="21" applyNumberFormat="1" applyFont="1" applyFill="1" applyBorder="1" applyAlignment="1">
      <alignment horizontal="center"/>
      <protection/>
    </xf>
    <xf numFmtId="164" fontId="9" fillId="3" borderId="1" xfId="21" applyFont="1" applyFill="1" applyBorder="1" applyAlignment="1">
      <alignment horizontal="left" vertical="top" wrapText="1"/>
      <protection/>
    </xf>
    <xf numFmtId="164" fontId="9" fillId="3" borderId="1" xfId="21" applyFont="1" applyFill="1" applyBorder="1" applyAlignment="1">
      <alignment horizontal="left" wrapText="1"/>
      <protection/>
    </xf>
    <xf numFmtId="166" fontId="9" fillId="3" borderId="1" xfId="21" applyNumberFormat="1" applyFont="1" applyFill="1" applyBorder="1" applyAlignment="1">
      <alignment horizontal="center"/>
      <protection/>
    </xf>
    <xf numFmtId="164" fontId="7" fillId="0" borderId="1" xfId="21" applyFont="1" applyFill="1" applyBorder="1" applyAlignment="1">
      <alignment horizontal="left" vertical="top" wrapText="1"/>
      <protection/>
    </xf>
    <xf numFmtId="164" fontId="9" fillId="0" borderId="1" xfId="21" applyFont="1" applyFill="1" applyBorder="1" applyAlignment="1">
      <alignment horizontal="left" vertical="top" wrapText="1"/>
      <protection/>
    </xf>
    <xf numFmtId="164" fontId="9" fillId="0" borderId="1" xfId="21" applyFont="1" applyFill="1" applyBorder="1" applyAlignment="1">
      <alignment horizontal="center"/>
      <protection/>
    </xf>
    <xf numFmtId="165" fontId="9" fillId="0" borderId="1" xfId="21" applyNumberFormat="1" applyFont="1" applyFill="1" applyBorder="1" applyAlignment="1">
      <alignment horizontal="center"/>
      <protection/>
    </xf>
    <xf numFmtId="166" fontId="9" fillId="0" borderId="1" xfId="21" applyNumberFormat="1" applyFont="1" applyFill="1" applyBorder="1" applyAlignment="1">
      <alignment horizontal="center"/>
      <protection/>
    </xf>
    <xf numFmtId="164" fontId="3" fillId="0" borderId="1" xfId="21" applyFont="1" applyFill="1" applyBorder="1" applyAlignment="1">
      <alignment horizontal="left"/>
      <protection/>
    </xf>
    <xf numFmtId="164" fontId="3" fillId="0" borderId="1" xfId="21" applyFont="1" applyFill="1" applyBorder="1" applyAlignment="1">
      <alignment horizontal="center"/>
      <protection/>
    </xf>
    <xf numFmtId="165" fontId="3" fillId="0" borderId="1" xfId="21" applyNumberFormat="1" applyFont="1" applyFill="1" applyBorder="1" applyAlignment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67" fontId="3" fillId="2" borderId="1" xfId="21" applyNumberFormat="1" applyFont="1" applyFill="1" applyBorder="1" applyAlignment="1">
      <alignment horizontal="center"/>
      <protection/>
    </xf>
    <xf numFmtId="165" fontId="9" fillId="0" borderId="2" xfId="21" applyNumberFormat="1" applyFont="1" applyFill="1" applyBorder="1" applyAlignment="1">
      <alignment horizontal="center" vertical="top" wrapText="1"/>
      <protection/>
    </xf>
    <xf numFmtId="164" fontId="3" fillId="0" borderId="1" xfId="21" applyFont="1" applyFill="1" applyBorder="1" applyAlignment="1">
      <alignment vertical="top" wrapText="1"/>
      <protection/>
    </xf>
    <xf numFmtId="164" fontId="8" fillId="0" borderId="0" xfId="21" applyFont="1" applyFill="1">
      <alignment/>
      <protection/>
    </xf>
    <xf numFmtId="164" fontId="3" fillId="0" borderId="3" xfId="21" applyFont="1" applyFill="1" applyBorder="1" applyAlignment="1">
      <alignment vertical="top" wrapText="1"/>
      <protection/>
    </xf>
    <xf numFmtId="164" fontId="3" fillId="0" borderId="1" xfId="21" applyFont="1" applyFill="1" applyBorder="1" applyAlignment="1">
      <alignment horizontal="center" wrapText="1"/>
      <protection/>
    </xf>
    <xf numFmtId="168" fontId="7" fillId="0" borderId="0" xfId="21" applyNumberFormat="1" applyFont="1" applyFill="1">
      <alignment/>
      <protection/>
    </xf>
    <xf numFmtId="164" fontId="3" fillId="0" borderId="4" xfId="21" applyFont="1" applyFill="1" applyBorder="1" applyAlignment="1">
      <alignment horizontal="left" vertical="top" wrapText="1"/>
      <protection/>
    </xf>
    <xf numFmtId="164" fontId="3" fillId="0" borderId="5" xfId="21" applyFont="1" applyFill="1" applyBorder="1" applyAlignment="1">
      <alignment horizontal="left" vertical="top" wrapText="1"/>
      <protection/>
    </xf>
    <xf numFmtId="165" fontId="9" fillId="0" borderId="6" xfId="21" applyNumberFormat="1" applyFont="1" applyFill="1" applyBorder="1" applyAlignment="1">
      <alignment horizontal="center" vertical="top" wrapText="1"/>
      <protection/>
    </xf>
    <xf numFmtId="164" fontId="3" fillId="0" borderId="7" xfId="21" applyFont="1" applyFill="1" applyBorder="1" applyAlignment="1">
      <alignment vertical="top" wrapText="1"/>
      <protection/>
    </xf>
    <xf numFmtId="165" fontId="3" fillId="0" borderId="2" xfId="21" applyNumberFormat="1" applyFont="1" applyFill="1" applyBorder="1" applyAlignment="1">
      <alignment horizontal="center" vertical="top" wrapText="1"/>
      <protection/>
    </xf>
    <xf numFmtId="164" fontId="3" fillId="0" borderId="8" xfId="21" applyFont="1" applyFill="1" applyBorder="1" applyAlignment="1">
      <alignment horizontal="left" vertical="top" wrapText="1"/>
      <protection/>
    </xf>
    <xf numFmtId="165" fontId="3" fillId="0" borderId="1" xfId="21" applyNumberFormat="1" applyFont="1" applyFill="1" applyBorder="1" applyAlignment="1">
      <alignment horizontal="center" wrapText="1"/>
      <protection/>
    </xf>
    <xf numFmtId="166" fontId="3" fillId="0" borderId="1" xfId="0" applyNumberFormat="1" applyFont="1" applyBorder="1" applyAlignment="1">
      <alignment horizontal="center" shrinkToFit="1"/>
    </xf>
    <xf numFmtId="166" fontId="10" fillId="0" borderId="0" xfId="0" applyNumberFormat="1" applyFont="1" applyBorder="1" applyAlignment="1">
      <alignment horizontal="right" vertical="center" shrinkToFit="1"/>
    </xf>
    <xf numFmtId="164" fontId="3" fillId="0" borderId="1" xfId="21" applyFont="1" applyFill="1" applyBorder="1" applyAlignment="1">
      <alignment horizontal="left" vertical="center" wrapText="1"/>
      <protection/>
    </xf>
    <xf numFmtId="164" fontId="9" fillId="0" borderId="1" xfId="21" applyFont="1" applyFill="1" applyBorder="1" applyAlignment="1">
      <alignment wrapText="1"/>
      <protection/>
    </xf>
    <xf numFmtId="164" fontId="9" fillId="0" borderId="1" xfId="21" applyFont="1" applyFill="1" applyBorder="1" applyAlignment="1">
      <alignment horizontal="left" wrapText="1"/>
      <protection/>
    </xf>
    <xf numFmtId="164" fontId="7" fillId="0" borderId="1" xfId="21" applyFont="1" applyFill="1" applyBorder="1" applyAlignment="1">
      <alignment horizontal="center"/>
      <protection/>
    </xf>
    <xf numFmtId="166" fontId="7" fillId="4" borderId="1" xfId="21" applyNumberFormat="1" applyFont="1" applyFill="1" applyBorder="1">
      <alignment/>
      <protection/>
    </xf>
    <xf numFmtId="166" fontId="7" fillId="0" borderId="0" xfId="21" applyNumberFormat="1" applyFont="1" applyFill="1">
      <alignment/>
      <protection/>
    </xf>
    <xf numFmtId="164" fontId="9" fillId="0" borderId="1" xfId="21" applyFont="1" applyFill="1" applyBorder="1" applyAlignment="1">
      <alignment horizontal="center" wrapText="1"/>
      <protection/>
    </xf>
    <xf numFmtId="167" fontId="3" fillId="0" borderId="1" xfId="21" applyNumberFormat="1" applyFont="1" applyFill="1" applyBorder="1" applyAlignment="1">
      <alignment horizontal="center" wrapText="1"/>
      <protection/>
    </xf>
    <xf numFmtId="167" fontId="3" fillId="2" borderId="1" xfId="21" applyNumberFormat="1" applyFont="1" applyFill="1" applyBorder="1" applyAlignment="1">
      <alignment horizontal="center" wrapText="1"/>
      <protection/>
    </xf>
    <xf numFmtId="166" fontId="7" fillId="0" borderId="1" xfId="21" applyNumberFormat="1" applyFont="1" applyFill="1" applyBorder="1">
      <alignment/>
      <protection/>
    </xf>
    <xf numFmtId="166" fontId="7" fillId="5" borderId="0" xfId="21" applyNumberFormat="1" applyFont="1" applyFill="1">
      <alignment/>
      <protection/>
    </xf>
    <xf numFmtId="169" fontId="11" fillId="0" borderId="0" xfId="21" applyNumberFormat="1" applyFont="1" applyFill="1">
      <alignment/>
      <protection/>
    </xf>
    <xf numFmtId="164" fontId="11" fillId="0" borderId="0" xfId="21" applyFont="1" applyFill="1">
      <alignment/>
      <protection/>
    </xf>
    <xf numFmtId="167" fontId="11" fillId="0" borderId="0" xfId="21" applyNumberFormat="1" applyFont="1" applyFill="1">
      <alignment/>
      <protection/>
    </xf>
    <xf numFmtId="165" fontId="7" fillId="0" borderId="1" xfId="21" applyNumberFormat="1" applyFont="1" applyFill="1" applyBorder="1" applyAlignment="1">
      <alignment horizontal="center" wrapText="1"/>
      <protection/>
    </xf>
    <xf numFmtId="169" fontId="7" fillId="0" borderId="1" xfId="21" applyNumberFormat="1" applyFont="1" applyFill="1" applyBorder="1" applyAlignment="1">
      <alignment horizontal="center"/>
      <protection/>
    </xf>
    <xf numFmtId="165" fontId="9" fillId="0" borderId="1" xfId="21" applyNumberFormat="1" applyFont="1" applyFill="1" applyBorder="1" applyAlignment="1">
      <alignment horizontal="center" vertical="top" wrapText="1"/>
      <protection/>
    </xf>
    <xf numFmtId="165" fontId="7" fillId="0" borderId="1" xfId="21" applyNumberFormat="1" applyFont="1" applyFill="1" applyBorder="1" applyAlignment="1">
      <alignment horizontal="center"/>
      <protection/>
    </xf>
    <xf numFmtId="166" fontId="7" fillId="6" borderId="1" xfId="21" applyNumberFormat="1" applyFont="1" applyFill="1" applyBorder="1">
      <alignment/>
      <protection/>
    </xf>
    <xf numFmtId="166" fontId="7" fillId="6" borderId="0" xfId="21" applyNumberFormat="1" applyFont="1" applyFill="1">
      <alignment/>
      <protection/>
    </xf>
    <xf numFmtId="165" fontId="3" fillId="0" borderId="9" xfId="21" applyNumberFormat="1" applyFont="1" applyFill="1" applyBorder="1" applyAlignment="1">
      <alignment vertical="top" wrapText="1"/>
      <protection/>
    </xf>
    <xf numFmtId="166" fontId="7" fillId="0" borderId="1" xfId="21" applyNumberFormat="1" applyFont="1" applyFill="1" applyBorder="1" applyAlignment="1">
      <alignment horizontal="right" vertical="top"/>
      <protection/>
    </xf>
    <xf numFmtId="164" fontId="7" fillId="0" borderId="1" xfId="21" applyFont="1" applyFill="1" applyBorder="1" applyAlignment="1">
      <alignment horizontal="right" vertical="top"/>
      <protection/>
    </xf>
    <xf numFmtId="165" fontId="3" fillId="0" borderId="9" xfId="21" applyNumberFormat="1" applyFont="1" applyFill="1" applyBorder="1" applyAlignment="1">
      <alignment horizontal="center" vertical="top" wrapText="1"/>
      <protection/>
    </xf>
    <xf numFmtId="167" fontId="9" fillId="0" borderId="1" xfId="21" applyNumberFormat="1" applyFont="1" applyFill="1" applyBorder="1" applyAlignment="1">
      <alignment horizontal="center" wrapText="1"/>
      <protection/>
    </xf>
    <xf numFmtId="167" fontId="9" fillId="2" borderId="1" xfId="21" applyNumberFormat="1" applyFont="1" applyFill="1" applyBorder="1" applyAlignment="1">
      <alignment horizontal="center" wrapText="1"/>
      <protection/>
    </xf>
    <xf numFmtId="166" fontId="7" fillId="5" borderId="1" xfId="21" applyNumberFormat="1" applyFont="1" applyFill="1" applyBorder="1">
      <alignment/>
      <protection/>
    </xf>
    <xf numFmtId="164" fontId="3" fillId="0" borderId="1" xfId="21" applyFont="1" applyFill="1" applyBorder="1">
      <alignment/>
      <protection/>
    </xf>
    <xf numFmtId="164" fontId="3" fillId="0" borderId="0" xfId="21" applyFont="1" applyFill="1" applyBorder="1" applyAlignment="1">
      <alignment vertical="top" wrapText="1"/>
      <protection/>
    </xf>
    <xf numFmtId="165" fontId="3" fillId="0" borderId="1" xfId="21" applyNumberFormat="1" applyFont="1" applyFill="1" applyBorder="1" applyAlignment="1">
      <alignment vertical="top" wrapText="1"/>
      <protection/>
    </xf>
    <xf numFmtId="164" fontId="3" fillId="0" borderId="1" xfId="21" applyFont="1" applyFill="1" applyBorder="1" applyAlignment="1">
      <alignment horizontal="center" vertical="top" wrapText="1"/>
      <protection/>
    </xf>
    <xf numFmtId="167" fontId="3" fillId="0" borderId="1" xfId="21" applyNumberFormat="1" applyFont="1" applyFill="1" applyBorder="1" applyAlignment="1">
      <alignment horizontal="center" vertical="top" wrapText="1"/>
      <protection/>
    </xf>
    <xf numFmtId="167" fontId="3" fillId="2" borderId="1" xfId="21" applyNumberFormat="1" applyFont="1" applyFill="1" applyBorder="1" applyAlignment="1">
      <alignment horizontal="center" vertical="top" wrapText="1"/>
      <protection/>
    </xf>
    <xf numFmtId="164" fontId="4" fillId="0" borderId="0" xfId="21" applyFont="1" applyFill="1" applyAlignment="1">
      <alignment horizontal="center"/>
      <protection/>
    </xf>
    <xf numFmtId="166" fontId="7" fillId="4" borderId="1" xfId="21" applyNumberFormat="1" applyFont="1" applyFill="1" applyBorder="1" applyAlignment="1">
      <alignment horizontal="right" vertical="top"/>
      <protection/>
    </xf>
    <xf numFmtId="166" fontId="7" fillId="4" borderId="0" xfId="21" applyNumberFormat="1" applyFont="1" applyFill="1" applyAlignment="1">
      <alignment horizontal="center" vertical="top"/>
      <protection/>
    </xf>
    <xf numFmtId="164" fontId="8" fillId="0" borderId="0" xfId="21" applyFont="1" applyFill="1" applyAlignment="1">
      <alignment horizontal="center" vertical="top"/>
      <protection/>
    </xf>
    <xf numFmtId="164" fontId="3" fillId="0" borderId="1" xfId="21" applyFont="1" applyFill="1" applyBorder="1" applyAlignment="1">
      <alignment wrapText="1"/>
      <protection/>
    </xf>
    <xf numFmtId="165" fontId="3" fillId="0" borderId="1" xfId="21" applyNumberFormat="1" applyFont="1" applyFill="1" applyBorder="1">
      <alignment/>
      <protection/>
    </xf>
    <xf numFmtId="164" fontId="3" fillId="2" borderId="1" xfId="21" applyFont="1" applyFill="1" applyBorder="1">
      <alignment/>
      <protection/>
    </xf>
    <xf numFmtId="166" fontId="7" fillId="6" borderId="1" xfId="21" applyNumberFormat="1" applyFont="1" applyFill="1" applyBorder="1" applyAlignment="1">
      <alignment horizontal="right"/>
      <protection/>
    </xf>
    <xf numFmtId="164" fontId="3" fillId="0" borderId="1" xfId="21" applyFont="1" applyFill="1" applyBorder="1" applyAlignment="1">
      <alignment horizontal="right"/>
      <protection/>
    </xf>
    <xf numFmtId="165" fontId="3" fillId="0" borderId="1" xfId="21" applyNumberFormat="1" applyFont="1" applyFill="1" applyBorder="1" applyAlignment="1">
      <alignment horizontal="center" vertical="top" wrapText="1"/>
      <protection/>
    </xf>
    <xf numFmtId="164" fontId="9" fillId="0" borderId="1" xfId="21" applyFont="1" applyFill="1" applyBorder="1" applyAlignment="1">
      <alignment/>
      <protection/>
    </xf>
    <xf numFmtId="166" fontId="7" fillId="0" borderId="1" xfId="21" applyNumberFormat="1" applyFont="1" applyFill="1" applyBorder="1" applyAlignment="1">
      <alignment horizontal="right"/>
      <protection/>
    </xf>
    <xf numFmtId="164" fontId="7" fillId="0" borderId="1" xfId="21" applyFont="1" applyFill="1" applyBorder="1" applyAlignment="1">
      <alignment horizontal="right"/>
      <protection/>
    </xf>
    <xf numFmtId="168" fontId="9" fillId="0" borderId="1" xfId="21" applyNumberFormat="1" applyFont="1" applyFill="1" applyBorder="1" applyAlignment="1">
      <alignment horizontal="center"/>
      <protection/>
    </xf>
    <xf numFmtId="168" fontId="9" fillId="2" borderId="1" xfId="21" applyNumberFormat="1" applyFont="1" applyFill="1" applyBorder="1" applyAlignment="1">
      <alignment horizontal="center"/>
      <protection/>
    </xf>
    <xf numFmtId="166" fontId="3" fillId="2" borderId="1" xfId="21" applyNumberFormat="1" applyFont="1" applyFill="1" applyBorder="1" applyAlignment="1">
      <alignment horizontal="center"/>
      <protection/>
    </xf>
    <xf numFmtId="166" fontId="7" fillId="7" borderId="1" xfId="21" applyNumberFormat="1" applyFont="1" applyFill="1" applyBorder="1">
      <alignment/>
      <protection/>
    </xf>
    <xf numFmtId="166" fontId="7" fillId="7" borderId="0" xfId="21" applyNumberFormat="1" applyFont="1" applyFill="1">
      <alignment/>
      <protection/>
    </xf>
    <xf numFmtId="165" fontId="9" fillId="0" borderId="10" xfId="21" applyNumberFormat="1" applyFont="1" applyFill="1" applyBorder="1" applyAlignment="1">
      <alignment horizontal="center" vertical="top" wrapText="1"/>
      <protection/>
    </xf>
    <xf numFmtId="164" fontId="4" fillId="0" borderId="0" xfId="21" applyFont="1" applyFill="1" applyAlignment="1">
      <alignment wrapText="1"/>
      <protection/>
    </xf>
    <xf numFmtId="167" fontId="8" fillId="0" borderId="0" xfId="21" applyNumberFormat="1" applyFont="1" applyFill="1">
      <alignment/>
      <protection/>
    </xf>
    <xf numFmtId="164" fontId="8" fillId="0" borderId="1" xfId="21" applyFont="1" applyFill="1" applyBorder="1">
      <alignment/>
      <protection/>
    </xf>
    <xf numFmtId="166" fontId="8" fillId="0" borderId="0" xfId="21" applyNumberFormat="1" applyFont="1" applyFill="1">
      <alignment/>
      <protection/>
    </xf>
    <xf numFmtId="164" fontId="3" fillId="0" borderId="11" xfId="21" applyFont="1" applyFill="1" applyBorder="1" applyAlignment="1">
      <alignment vertical="top" wrapText="1"/>
      <protection/>
    </xf>
    <xf numFmtId="164" fontId="3" fillId="0" borderId="1" xfId="21" applyFont="1" applyBorder="1" applyAlignment="1">
      <alignment horizontal="center"/>
      <protection/>
    </xf>
    <xf numFmtId="164" fontId="3" fillId="0" borderId="1" xfId="21" applyFont="1" applyFill="1" applyBorder="1" applyAlignment="1">
      <alignment horizontal="center" vertical="top"/>
      <protection/>
    </xf>
    <xf numFmtId="164" fontId="3" fillId="2" borderId="1" xfId="21" applyFont="1" applyFill="1" applyBorder="1" applyAlignment="1">
      <alignment horizontal="center" vertical="top"/>
      <protection/>
    </xf>
    <xf numFmtId="165" fontId="9" fillId="0" borderId="9" xfId="21" applyNumberFormat="1" applyFont="1" applyFill="1" applyBorder="1" applyAlignment="1">
      <alignment horizontal="center" vertical="top" wrapText="1"/>
      <protection/>
    </xf>
    <xf numFmtId="167" fontId="3" fillId="0" borderId="1" xfId="21" applyNumberFormat="1" applyFont="1" applyBorder="1" applyAlignment="1">
      <alignment horizontal="center"/>
      <protection/>
    </xf>
    <xf numFmtId="164" fontId="12" fillId="0" borderId="1" xfId="21" applyFont="1" applyFill="1" applyBorder="1" applyAlignment="1">
      <alignment vertical="top" wrapText="1"/>
      <protection/>
    </xf>
    <xf numFmtId="166" fontId="9" fillId="0" borderId="1" xfId="21" applyNumberFormat="1" applyFont="1" applyBorder="1" applyAlignment="1">
      <alignment horizontal="center"/>
      <protection/>
    </xf>
    <xf numFmtId="168" fontId="9" fillId="0" borderId="1" xfId="21" applyNumberFormat="1" applyFont="1" applyBorder="1" applyAlignment="1">
      <alignment horizontal="center"/>
      <protection/>
    </xf>
    <xf numFmtId="168" fontId="9" fillId="3" borderId="1" xfId="21" applyNumberFormat="1" applyFont="1" applyFill="1" applyBorder="1" applyAlignment="1">
      <alignment horizontal="center"/>
      <protection/>
    </xf>
    <xf numFmtId="166" fontId="4" fillId="0" borderId="0" xfId="21" applyNumberFormat="1" applyFont="1" applyFill="1">
      <alignment/>
      <protection/>
    </xf>
    <xf numFmtId="164" fontId="3" fillId="0" borderId="0" xfId="21" applyFont="1" applyFill="1" applyAlignment="1">
      <alignment horizontal="center"/>
      <protection/>
    </xf>
    <xf numFmtId="164" fontId="4" fillId="0" borderId="1" xfId="21" applyFont="1" applyFill="1" applyBorder="1" applyAlignment="1">
      <alignment wrapText="1"/>
      <protection/>
    </xf>
    <xf numFmtId="164" fontId="3" fillId="2" borderId="1" xfId="21" applyFont="1" applyFill="1" applyBorder="1" applyAlignment="1">
      <alignment wrapText="1"/>
      <protection/>
    </xf>
    <xf numFmtId="164" fontId="4" fillId="0" borderId="0" xfId="21" applyFont="1" applyFill="1" applyBorder="1" applyAlignment="1">
      <alignment horizontal="justify" wrapText="1"/>
      <protection/>
    </xf>
    <xf numFmtId="167" fontId="4" fillId="2" borderId="0" xfId="21" applyNumberFormat="1" applyFont="1" applyFill="1" applyAlignment="1">
      <alignment horizontal="justify" wrapText="1"/>
      <protection/>
    </xf>
    <xf numFmtId="164" fontId="4" fillId="2" borderId="0" xfId="21" applyFont="1" applyFill="1" applyAlignment="1">
      <alignment horizontal="justify" wrapText="1"/>
      <protection/>
    </xf>
    <xf numFmtId="164" fontId="4" fillId="0" borderId="0" xfId="21" applyFont="1" applyFill="1" applyAlignment="1">
      <alignment horizontal="justify" wrapText="1"/>
      <protection/>
    </xf>
    <xf numFmtId="167" fontId="3" fillId="0" borderId="0" xfId="21" applyNumberFormat="1" applyFont="1" applyFill="1">
      <alignment/>
      <protection/>
    </xf>
    <xf numFmtId="169" fontId="3" fillId="0" borderId="0" xfId="21" applyNumberFormat="1" applyFont="1" applyFill="1">
      <alignment/>
      <protection/>
    </xf>
    <xf numFmtId="166" fontId="3" fillId="0" borderId="0" xfId="21" applyNumberFormat="1" applyFont="1" applyFill="1">
      <alignment/>
      <protection/>
    </xf>
    <xf numFmtId="164" fontId="9" fillId="3" borderId="12" xfId="21" applyFont="1" applyFill="1" applyBorder="1" applyAlignment="1">
      <alignment vertical="top" wrapText="1"/>
      <protection/>
    </xf>
    <xf numFmtId="164" fontId="3" fillId="3" borderId="1" xfId="21" applyFont="1" applyFill="1" applyBorder="1" applyAlignment="1">
      <alignment horizontal="center" vertical="center" wrapText="1"/>
      <protection/>
    </xf>
    <xf numFmtId="166" fontId="3" fillId="0" borderId="1" xfId="21" applyNumberFormat="1" applyFont="1" applyFill="1" applyBorder="1">
      <alignment/>
      <protection/>
    </xf>
    <xf numFmtId="164" fontId="3" fillId="3" borderId="5" xfId="21" applyFont="1" applyFill="1" applyBorder="1" applyAlignment="1">
      <alignment horizontal="center" vertical="center" wrapText="1"/>
      <protection/>
    </xf>
    <xf numFmtId="164" fontId="3" fillId="0" borderId="10" xfId="21" applyFont="1" applyFill="1" applyBorder="1" applyAlignment="1">
      <alignment horizontal="left" vertical="top" wrapText="1"/>
      <protection/>
    </xf>
    <xf numFmtId="164" fontId="3" fillId="3" borderId="12" xfId="21" applyFont="1" applyFill="1" applyBorder="1" applyAlignment="1">
      <alignment horizontal="center" vertical="center" wrapText="1"/>
      <protection/>
    </xf>
    <xf numFmtId="165" fontId="9" fillId="0" borderId="2" xfId="21" applyNumberFormat="1" applyFont="1" applyFill="1" applyBorder="1" applyAlignment="1">
      <alignment horizontal="center" vertical="center" wrapText="1"/>
      <protection/>
    </xf>
    <xf numFmtId="170" fontId="3" fillId="3" borderId="1" xfId="21" applyNumberFormat="1" applyFont="1" applyFill="1" applyBorder="1" applyAlignment="1">
      <alignment horizontal="center" vertical="center" wrapText="1"/>
      <protection/>
    </xf>
    <xf numFmtId="164" fontId="3" fillId="0" borderId="13" xfId="21" applyFont="1" applyFill="1" applyBorder="1" applyAlignment="1">
      <alignment horizontal="left" vertical="top" wrapText="1"/>
      <protection/>
    </xf>
    <xf numFmtId="165" fontId="9" fillId="0" borderId="12" xfId="21" applyNumberFormat="1" applyFont="1" applyFill="1" applyBorder="1" applyAlignment="1">
      <alignment vertical="center" wrapText="1"/>
      <protection/>
    </xf>
    <xf numFmtId="165" fontId="9" fillId="0" borderId="14" xfId="21" applyNumberFormat="1" applyFont="1" applyFill="1" applyBorder="1" applyAlignment="1">
      <alignment horizontal="center" vertical="center" wrapText="1"/>
      <protection/>
    </xf>
    <xf numFmtId="164" fontId="3" fillId="0" borderId="15" xfId="21" applyFont="1" applyFill="1" applyBorder="1" applyAlignment="1">
      <alignment horizontal="left" vertical="top" wrapText="1"/>
      <protection/>
    </xf>
    <xf numFmtId="165" fontId="3" fillId="0" borderId="16" xfId="21" applyNumberFormat="1" applyFont="1" applyFill="1" applyBorder="1" applyAlignment="1">
      <alignment vertical="center" wrapText="1"/>
      <protection/>
    </xf>
    <xf numFmtId="165" fontId="3" fillId="0" borderId="12" xfId="21" applyNumberFormat="1" applyFont="1" applyFill="1" applyBorder="1" applyAlignment="1">
      <alignment vertical="center" wrapText="1"/>
      <protection/>
    </xf>
    <xf numFmtId="164" fontId="3" fillId="3" borderId="5" xfId="21" applyFont="1" applyFill="1" applyBorder="1" applyAlignment="1">
      <alignment horizontal="left" vertical="top" wrapText="1"/>
      <protection/>
    </xf>
    <xf numFmtId="164" fontId="3" fillId="3" borderId="1" xfId="21" applyFont="1" applyFill="1" applyBorder="1" applyAlignment="1">
      <alignment vertical="top" wrapText="1"/>
      <protection/>
    </xf>
    <xf numFmtId="164" fontId="3" fillId="3" borderId="17" xfId="21" applyFont="1" applyFill="1" applyBorder="1" applyAlignment="1">
      <alignment horizontal="center" vertical="center" wrapText="1"/>
      <protection/>
    </xf>
    <xf numFmtId="164" fontId="4" fillId="0" borderId="0" xfId="21" applyFont="1" applyFill="1" applyAlignment="1">
      <alignment horizontal="left"/>
      <protection/>
    </xf>
    <xf numFmtId="171" fontId="3" fillId="3" borderId="5" xfId="21" applyNumberFormat="1" applyFont="1" applyFill="1" applyBorder="1" applyAlignment="1">
      <alignment horizontal="center" vertical="center" wrapText="1"/>
      <protection/>
    </xf>
    <xf numFmtId="171" fontId="3" fillId="3" borderId="5" xfId="21" applyNumberFormat="1" applyFont="1" applyFill="1" applyBorder="1" applyAlignment="1">
      <alignment horizontal="center" vertical="center"/>
      <protection/>
    </xf>
    <xf numFmtId="164" fontId="3" fillId="0" borderId="1" xfId="2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e001\AppData\Local\Microsoft\Windows\Temporary%20Internet%20Files\Content.Outlook\7VKS1SOM\&#1058;&#1072;&#1073;&#1083;&#1080;&#1094;&#1072;%207%20&#1088;&#1077;&#1089;&#1091;&#1088;&#1089;&#1085;&#1086;&#1077;%20&#1086;&#1073;&#1077;&#1089;&#1087;&#1077;&#1095;&#1077;&#1085;&#1080;&#1077;%20&#1087;&#1086;%20&#1091;&#1088;&#1086;&#1074;&#1085;&#1103;&#1084;%20&#1073;&#1102;&#1076;&#1078;&#1077;&#1090;&#1072;-&#1089;%20&#1080;&#1079;&#1084;&#1077;&#1085;&#1077;&#1085;&#1080;&#1103;&#1084;&#1080;%20&#1087;&#1086;&#1089;&#1083;&#1077;%20&#1052;&#1060;%2016.10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4">
          <cell r="A324" t="str">
            <v>08.5.0101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zoomScale="115" zoomScaleNormal="11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6" sqref="K6"/>
    </sheetView>
  </sheetViews>
  <sheetFormatPr defaultColWidth="9.140625" defaultRowHeight="12.75"/>
  <cols>
    <col min="1" max="1" width="13.421875" style="1" customWidth="1"/>
    <col min="2" max="2" width="48.00390625" style="1" customWidth="1"/>
    <col min="3" max="3" width="26.7109375" style="2" customWidth="1"/>
    <col min="4" max="4" width="0.2890625" style="2" customWidth="1"/>
    <col min="5" max="5" width="6.7109375" style="2" customWidth="1"/>
    <col min="6" max="6" width="7.57421875" style="3" customWidth="1"/>
    <col min="7" max="7" width="6.7109375" style="2" customWidth="1"/>
    <col min="8" max="8" width="0.2890625" style="2" customWidth="1"/>
    <col min="9" max="10" width="11.8515625" style="2" customWidth="1"/>
    <col min="11" max="11" width="8.28125" style="2" customWidth="1"/>
    <col min="12" max="12" width="8.28125" style="4" customWidth="1"/>
    <col min="13" max="14" width="7.421875" style="4" customWidth="1"/>
    <col min="15" max="15" width="10.57421875" style="2" customWidth="1"/>
    <col min="16" max="16" width="10.7109375" style="2" customWidth="1"/>
    <col min="17" max="18" width="10.421875" style="2" customWidth="1"/>
    <col min="19" max="19" width="10.28125" style="5" customWidth="1"/>
    <col min="20" max="22" width="0" style="2" hidden="1" customWidth="1"/>
    <col min="23" max="23" width="9.140625" style="2" customWidth="1"/>
    <col min="24" max="24" width="12.7109375" style="2" customWidth="1"/>
    <col min="25" max="16384" width="9.140625" style="2" customWidth="1"/>
  </cols>
  <sheetData>
    <row r="1" spans="14:18" ht="13.5">
      <c r="N1" s="6"/>
      <c r="Q1" s="7"/>
      <c r="R1" s="8" t="s">
        <v>0</v>
      </c>
    </row>
    <row r="3" spans="1:18" ht="33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ht="9" customHeight="1"/>
    <row r="5" spans="1:19" s="14" customFormat="1" ht="31.5" customHeight="1">
      <c r="A5" s="10" t="s">
        <v>2</v>
      </c>
      <c r="B5" s="10" t="s">
        <v>3</v>
      </c>
      <c r="C5" s="10" t="s">
        <v>4</v>
      </c>
      <c r="D5" s="10" t="s">
        <v>5</v>
      </c>
      <c r="E5" s="10"/>
      <c r="F5" s="10"/>
      <c r="G5" s="10"/>
      <c r="H5" s="10" t="s">
        <v>6</v>
      </c>
      <c r="I5" s="10"/>
      <c r="J5" s="10"/>
      <c r="K5" s="10"/>
      <c r="L5" s="11" t="s">
        <v>7</v>
      </c>
      <c r="M5" s="11"/>
      <c r="N5" s="11"/>
      <c r="O5" s="12" t="s">
        <v>6</v>
      </c>
      <c r="P5" s="12"/>
      <c r="Q5" s="12"/>
      <c r="R5" s="12"/>
      <c r="S5" s="13"/>
    </row>
    <row r="6" spans="1:19" s="14" customFormat="1" ht="79.5" customHeight="1">
      <c r="A6" s="10"/>
      <c r="B6" s="10"/>
      <c r="C6" s="10"/>
      <c r="D6" s="10" t="s">
        <v>8</v>
      </c>
      <c r="E6" s="10" t="s">
        <v>9</v>
      </c>
      <c r="F6" s="15" t="s">
        <v>10</v>
      </c>
      <c r="G6" s="10" t="s">
        <v>11</v>
      </c>
      <c r="H6" s="10">
        <v>2012</v>
      </c>
      <c r="I6" s="10">
        <v>2013</v>
      </c>
      <c r="J6" s="10">
        <v>2014</v>
      </c>
      <c r="K6" s="10">
        <v>2015</v>
      </c>
      <c r="L6" s="16">
        <v>2013</v>
      </c>
      <c r="M6" s="16">
        <v>2014</v>
      </c>
      <c r="N6" s="16">
        <v>2015</v>
      </c>
      <c r="O6" s="10">
        <v>2013</v>
      </c>
      <c r="P6" s="10">
        <v>2014</v>
      </c>
      <c r="Q6" s="10">
        <v>2015</v>
      </c>
      <c r="R6" s="10">
        <v>2016</v>
      </c>
      <c r="S6" s="17"/>
    </row>
    <row r="7" spans="1:19" s="14" customFormat="1" ht="12">
      <c r="A7" s="10">
        <v>1</v>
      </c>
      <c r="B7" s="10">
        <v>2</v>
      </c>
      <c r="C7" s="18">
        <v>3</v>
      </c>
      <c r="D7" s="18"/>
      <c r="E7" s="18"/>
      <c r="F7" s="19"/>
      <c r="G7" s="18"/>
      <c r="H7" s="18">
        <v>8</v>
      </c>
      <c r="I7" s="18">
        <v>8</v>
      </c>
      <c r="J7" s="18">
        <v>9</v>
      </c>
      <c r="K7" s="18">
        <v>10</v>
      </c>
      <c r="L7" s="20">
        <v>8</v>
      </c>
      <c r="M7" s="20">
        <v>9</v>
      </c>
      <c r="N7" s="20">
        <v>10</v>
      </c>
      <c r="O7" s="18">
        <v>4</v>
      </c>
      <c r="P7" s="18">
        <v>5</v>
      </c>
      <c r="Q7" s="18">
        <v>6</v>
      </c>
      <c r="R7" s="18">
        <v>7</v>
      </c>
      <c r="S7" s="21"/>
    </row>
    <row r="8" spans="1:26" s="14" customFormat="1" ht="18.75" customHeight="1">
      <c r="A8" s="22" t="s">
        <v>12</v>
      </c>
      <c r="B8" s="23" t="s">
        <v>13</v>
      </c>
      <c r="C8" s="24" t="s">
        <v>14</v>
      </c>
      <c r="D8" s="25" t="s">
        <v>15</v>
      </c>
      <c r="E8" s="25" t="s">
        <v>15</v>
      </c>
      <c r="F8" s="26" t="s">
        <v>15</v>
      </c>
      <c r="G8" s="25" t="s">
        <v>15</v>
      </c>
      <c r="H8" s="27">
        <f aca="true" t="shared" si="0" ref="H8:R8">H15+H23+H44+H60+H74</f>
        <v>1115627.2000000002</v>
      </c>
      <c r="I8" s="28">
        <f t="shared" si="0"/>
        <v>548235.0000000001</v>
      </c>
      <c r="J8" s="28">
        <f t="shared" si="0"/>
        <v>466457.2</v>
      </c>
      <c r="K8" s="28">
        <f t="shared" si="0"/>
        <v>465226.3</v>
      </c>
      <c r="L8" s="29">
        <f t="shared" si="0"/>
        <v>609630.808</v>
      </c>
      <c r="M8" s="29">
        <f t="shared" si="0"/>
        <v>69000</v>
      </c>
      <c r="N8" s="29">
        <f t="shared" si="0"/>
        <v>0</v>
      </c>
      <c r="O8" s="28">
        <f t="shared" si="0"/>
        <v>1161760.831</v>
      </c>
      <c r="P8" s="28">
        <f t="shared" si="0"/>
        <v>629866.8999999999</v>
      </c>
      <c r="Q8" s="28">
        <f t="shared" si="0"/>
        <v>748808.31</v>
      </c>
      <c r="R8" s="28">
        <f t="shared" si="0"/>
        <v>816784.85</v>
      </c>
      <c r="S8" s="30">
        <f>O8+P8+Q8+R8</f>
        <v>3357220.8910000003</v>
      </c>
      <c r="V8" s="31"/>
      <c r="W8" s="31">
        <v>1136638.8</v>
      </c>
      <c r="X8" s="14">
        <v>601327.8999999999</v>
      </c>
      <c r="Y8" s="14">
        <v>533808.2999999999</v>
      </c>
      <c r="Z8" s="14">
        <v>436884.8999999999</v>
      </c>
    </row>
    <row r="9" spans="1:31" s="14" customFormat="1" ht="58.5" customHeight="1">
      <c r="A9" s="22"/>
      <c r="B9" s="23" t="s">
        <v>16</v>
      </c>
      <c r="C9" s="24" t="s">
        <v>17</v>
      </c>
      <c r="D9" s="25">
        <v>864</v>
      </c>
      <c r="E9" s="25" t="s">
        <v>15</v>
      </c>
      <c r="F9" s="26" t="s">
        <v>15</v>
      </c>
      <c r="G9" s="25" t="s">
        <v>15</v>
      </c>
      <c r="H9" s="32">
        <f aca="true" t="shared" si="1" ref="H9:R9">H24+H45+H61+H75+H16</f>
        <v>353627.19999999995</v>
      </c>
      <c r="I9" s="33">
        <f t="shared" si="1"/>
        <v>362235.00000000006</v>
      </c>
      <c r="J9" s="33">
        <f t="shared" si="1"/>
        <v>366457.2</v>
      </c>
      <c r="K9" s="33">
        <f t="shared" si="1"/>
        <v>365226.3</v>
      </c>
      <c r="L9" s="29">
        <f t="shared" si="1"/>
        <v>124945.208</v>
      </c>
      <c r="M9" s="34">
        <f t="shared" si="1"/>
        <v>0</v>
      </c>
      <c r="N9" s="34">
        <f t="shared" si="1"/>
        <v>0</v>
      </c>
      <c r="O9" s="33">
        <f t="shared" si="1"/>
        <v>529151.218</v>
      </c>
      <c r="P9" s="33">
        <f t="shared" si="1"/>
        <v>432327.89999999997</v>
      </c>
      <c r="Q9" s="33">
        <f t="shared" si="1"/>
        <v>433808.31</v>
      </c>
      <c r="R9" s="33">
        <f t="shared" si="1"/>
        <v>436884.85</v>
      </c>
      <c r="S9" s="30"/>
      <c r="W9" s="31">
        <f>O8-W8</f>
        <v>25122.03099999996</v>
      </c>
      <c r="Y9" s="35" t="s">
        <v>18</v>
      </c>
      <c r="Z9" s="36">
        <f>528983.4+5788.018</f>
        <v>534771.4180000001</v>
      </c>
      <c r="AB9" s="31"/>
      <c r="AC9" s="31"/>
      <c r="AD9" s="31"/>
      <c r="AE9" s="31"/>
    </row>
    <row r="10" spans="1:26" s="14" customFormat="1" ht="60.75" customHeight="1">
      <c r="A10" s="22"/>
      <c r="B10" s="23"/>
      <c r="C10" s="37" t="s">
        <v>19</v>
      </c>
      <c r="D10" s="25">
        <v>828</v>
      </c>
      <c r="E10" s="25" t="s">
        <v>15</v>
      </c>
      <c r="F10" s="26" t="s">
        <v>15</v>
      </c>
      <c r="G10" s="25" t="s">
        <v>15</v>
      </c>
      <c r="H10" s="32">
        <f aca="true" t="shared" si="2" ref="H10:R10">H17</f>
        <v>762000</v>
      </c>
      <c r="I10" s="33">
        <f t="shared" si="2"/>
        <v>186000</v>
      </c>
      <c r="J10" s="33">
        <f t="shared" si="2"/>
        <v>100000</v>
      </c>
      <c r="K10" s="33">
        <f t="shared" si="2"/>
        <v>100000</v>
      </c>
      <c r="L10" s="34">
        <f t="shared" si="2"/>
        <v>481203.6</v>
      </c>
      <c r="M10" s="34">
        <f t="shared" si="2"/>
        <v>69000</v>
      </c>
      <c r="N10" s="34">
        <f t="shared" si="2"/>
        <v>0</v>
      </c>
      <c r="O10" s="33">
        <f>O17</f>
        <v>629127.613</v>
      </c>
      <c r="P10" s="33">
        <f t="shared" si="2"/>
        <v>197539</v>
      </c>
      <c r="Q10" s="33">
        <f t="shared" si="2"/>
        <v>315000</v>
      </c>
      <c r="R10" s="33">
        <f t="shared" si="2"/>
        <v>379900</v>
      </c>
      <c r="S10" s="30"/>
      <c r="T10" s="30"/>
      <c r="U10" s="30"/>
      <c r="V10" s="31"/>
      <c r="W10" s="31">
        <f>O9-O16</f>
        <v>492951.218</v>
      </c>
      <c r="X10" s="38"/>
      <c r="Y10" s="35" t="s">
        <v>20</v>
      </c>
      <c r="Z10" s="36">
        <v>5453.98</v>
      </c>
    </row>
    <row r="11" spans="1:26" s="14" customFormat="1" ht="45.75" customHeight="1" hidden="1">
      <c r="A11" s="22"/>
      <c r="B11" s="23"/>
      <c r="C11" s="37" t="s">
        <v>21</v>
      </c>
      <c r="D11" s="25"/>
      <c r="E11" s="25" t="s">
        <v>15</v>
      </c>
      <c r="F11" s="26" t="s">
        <v>15</v>
      </c>
      <c r="G11" s="25" t="s">
        <v>15</v>
      </c>
      <c r="H11" s="32"/>
      <c r="I11" s="33"/>
      <c r="J11" s="33"/>
      <c r="K11" s="33"/>
      <c r="L11" s="34"/>
      <c r="M11" s="34"/>
      <c r="N11" s="34"/>
      <c r="O11" s="33"/>
      <c r="P11" s="33"/>
      <c r="Q11" s="33"/>
      <c r="R11" s="33"/>
      <c r="S11" s="30"/>
      <c r="Y11" s="36"/>
      <c r="Z11" s="36"/>
    </row>
    <row r="12" spans="1:26" s="14" customFormat="1" ht="35.25" customHeight="1">
      <c r="A12" s="22"/>
      <c r="B12" s="23"/>
      <c r="C12" s="37" t="s">
        <v>22</v>
      </c>
      <c r="D12" s="25">
        <v>875</v>
      </c>
      <c r="E12" s="25" t="s">
        <v>15</v>
      </c>
      <c r="F12" s="26" t="s">
        <v>15</v>
      </c>
      <c r="G12" s="25" t="s">
        <v>15</v>
      </c>
      <c r="H12" s="32"/>
      <c r="I12" s="33"/>
      <c r="J12" s="33"/>
      <c r="K12" s="33"/>
      <c r="L12" s="34">
        <f aca="true" t="shared" si="3" ref="L12:R14">L25</f>
        <v>410</v>
      </c>
      <c r="M12" s="34">
        <f t="shared" si="3"/>
        <v>0</v>
      </c>
      <c r="N12" s="34">
        <f t="shared" si="3"/>
        <v>0</v>
      </c>
      <c r="O12" s="33">
        <f>O25</f>
        <v>410</v>
      </c>
      <c r="P12" s="33">
        <f t="shared" si="3"/>
        <v>0</v>
      </c>
      <c r="Q12" s="33">
        <f t="shared" si="3"/>
        <v>0</v>
      </c>
      <c r="R12" s="33">
        <f t="shared" si="3"/>
        <v>0</v>
      </c>
      <c r="S12" s="30"/>
      <c r="Y12" s="35" t="s">
        <v>23</v>
      </c>
      <c r="Z12" s="36">
        <v>166.2</v>
      </c>
    </row>
    <row r="13" spans="1:26" s="14" customFormat="1" ht="33" customHeight="1">
      <c r="A13" s="22"/>
      <c r="B13" s="23"/>
      <c r="C13" s="37" t="s">
        <v>24</v>
      </c>
      <c r="D13" s="25">
        <v>856</v>
      </c>
      <c r="E13" s="25" t="s">
        <v>15</v>
      </c>
      <c r="F13" s="26" t="s">
        <v>15</v>
      </c>
      <c r="G13" s="25" t="s">
        <v>15</v>
      </c>
      <c r="H13" s="32"/>
      <c r="I13" s="33"/>
      <c r="J13" s="33"/>
      <c r="K13" s="33"/>
      <c r="L13" s="34">
        <f t="shared" si="3"/>
        <v>2432</v>
      </c>
      <c r="M13" s="34">
        <f t="shared" si="3"/>
        <v>0</v>
      </c>
      <c r="N13" s="34">
        <f t="shared" si="3"/>
        <v>0</v>
      </c>
      <c r="O13" s="33">
        <f t="shared" si="3"/>
        <v>2432</v>
      </c>
      <c r="P13" s="33">
        <f t="shared" si="3"/>
        <v>0</v>
      </c>
      <c r="Q13" s="33">
        <f t="shared" si="3"/>
        <v>0</v>
      </c>
      <c r="R13" s="33">
        <f t="shared" si="3"/>
        <v>0</v>
      </c>
      <c r="S13" s="30"/>
      <c r="Y13" s="35" t="s">
        <v>25</v>
      </c>
      <c r="Z13" s="39">
        <f>Z9-Z10-Z12</f>
        <v>529151.2380000001</v>
      </c>
    </row>
    <row r="14" spans="1:26" s="14" customFormat="1" ht="46.5" customHeight="1">
      <c r="A14" s="22"/>
      <c r="B14" s="23"/>
      <c r="C14" s="37" t="s">
        <v>26</v>
      </c>
      <c r="D14" s="25">
        <v>831</v>
      </c>
      <c r="E14" s="25" t="s">
        <v>15</v>
      </c>
      <c r="F14" s="26" t="s">
        <v>15</v>
      </c>
      <c r="G14" s="25" t="s">
        <v>15</v>
      </c>
      <c r="H14" s="32"/>
      <c r="I14" s="33"/>
      <c r="J14" s="33"/>
      <c r="K14" s="33"/>
      <c r="L14" s="34">
        <f t="shared" si="3"/>
        <v>640</v>
      </c>
      <c r="M14" s="34">
        <f t="shared" si="3"/>
        <v>0</v>
      </c>
      <c r="N14" s="34">
        <f t="shared" si="3"/>
        <v>0</v>
      </c>
      <c r="O14" s="33">
        <f t="shared" si="3"/>
        <v>640</v>
      </c>
      <c r="P14" s="33">
        <f t="shared" si="3"/>
        <v>0</v>
      </c>
      <c r="Q14" s="33">
        <f t="shared" si="3"/>
        <v>0</v>
      </c>
      <c r="R14" s="33">
        <f t="shared" si="3"/>
        <v>0</v>
      </c>
      <c r="S14" s="30"/>
      <c r="Y14" s="35" t="s">
        <v>27</v>
      </c>
      <c r="Z14" s="39">
        <f>Z13-O9</f>
        <v>0.020000000135041773</v>
      </c>
    </row>
    <row r="15" spans="1:19" s="48" customFormat="1" ht="26.25" customHeight="1">
      <c r="A15" s="40" t="s">
        <v>28</v>
      </c>
      <c r="B15" s="41" t="s">
        <v>29</v>
      </c>
      <c r="C15" s="42" t="s">
        <v>14</v>
      </c>
      <c r="D15" s="43"/>
      <c r="E15" s="43"/>
      <c r="F15" s="44"/>
      <c r="G15" s="43"/>
      <c r="H15" s="45">
        <f>H16+H17</f>
        <v>780000</v>
      </c>
      <c r="I15" s="46">
        <v>186000</v>
      </c>
      <c r="J15" s="46">
        <f aca="true" t="shared" si="4" ref="J15:R15">J16+J17</f>
        <v>100000</v>
      </c>
      <c r="K15" s="46">
        <f t="shared" si="4"/>
        <v>100000</v>
      </c>
      <c r="L15" s="46">
        <f t="shared" si="4"/>
        <v>491203.6</v>
      </c>
      <c r="M15" s="46">
        <f t="shared" si="4"/>
        <v>69000</v>
      </c>
      <c r="N15" s="46">
        <f t="shared" si="4"/>
        <v>0</v>
      </c>
      <c r="O15" s="33">
        <f>O16+O17</f>
        <v>665327.613</v>
      </c>
      <c r="P15" s="46">
        <f t="shared" si="4"/>
        <v>197539</v>
      </c>
      <c r="Q15" s="46">
        <f t="shared" si="4"/>
        <v>315000</v>
      </c>
      <c r="R15" s="46">
        <f t="shared" si="4"/>
        <v>379900</v>
      </c>
      <c r="S15" s="47"/>
    </row>
    <row r="16" spans="1:24" s="48" customFormat="1" ht="69" customHeight="1">
      <c r="A16" s="40"/>
      <c r="B16" s="41"/>
      <c r="C16" s="49" t="s">
        <v>17</v>
      </c>
      <c r="D16" s="43"/>
      <c r="E16" s="43"/>
      <c r="F16" s="44"/>
      <c r="G16" s="43"/>
      <c r="H16" s="45">
        <v>18000</v>
      </c>
      <c r="I16" s="46">
        <v>0</v>
      </c>
      <c r="J16" s="46">
        <v>0</v>
      </c>
      <c r="K16" s="46">
        <v>0</v>
      </c>
      <c r="L16" s="46">
        <f aca="true" t="shared" si="5" ref="L16:Q16">L22</f>
        <v>10000</v>
      </c>
      <c r="M16" s="46">
        <f t="shared" si="5"/>
        <v>0</v>
      </c>
      <c r="N16" s="46">
        <f t="shared" si="5"/>
        <v>0</v>
      </c>
      <c r="O16" s="33">
        <f t="shared" si="5"/>
        <v>36200</v>
      </c>
      <c r="P16" s="46">
        <f t="shared" si="5"/>
        <v>0</v>
      </c>
      <c r="Q16" s="46">
        <f t="shared" si="5"/>
        <v>0</v>
      </c>
      <c r="R16" s="46">
        <f>R22</f>
        <v>0</v>
      </c>
      <c r="S16" s="50"/>
      <c r="W16" s="51"/>
      <c r="X16" s="51"/>
    </row>
    <row r="17" spans="1:19" s="48" customFormat="1" ht="54" customHeight="1">
      <c r="A17" s="40"/>
      <c r="B17" s="41"/>
      <c r="C17" s="52" t="s">
        <v>19</v>
      </c>
      <c r="D17" s="43"/>
      <c r="E17" s="43"/>
      <c r="F17" s="44"/>
      <c r="G17" s="43"/>
      <c r="H17" s="45">
        <v>762000</v>
      </c>
      <c r="I17" s="46">
        <v>186000</v>
      </c>
      <c r="J17" s="46">
        <v>100000</v>
      </c>
      <c r="K17" s="46">
        <v>100000</v>
      </c>
      <c r="L17" s="46">
        <f aca="true" t="shared" si="6" ref="L17:Q17">SUM(L18:L21)</f>
        <v>481203.6</v>
      </c>
      <c r="M17" s="46">
        <f t="shared" si="6"/>
        <v>69000</v>
      </c>
      <c r="N17" s="46">
        <f t="shared" si="6"/>
        <v>0</v>
      </c>
      <c r="O17" s="33">
        <f>SUM(O18:O21)</f>
        <v>629127.613</v>
      </c>
      <c r="P17" s="46">
        <f t="shared" si="6"/>
        <v>197539</v>
      </c>
      <c r="Q17" s="46">
        <f t="shared" si="6"/>
        <v>315000</v>
      </c>
      <c r="R17" s="46">
        <f>SUM(R18:R21)</f>
        <v>379900</v>
      </c>
      <c r="S17" s="50"/>
    </row>
    <row r="18" spans="1:19" s="48" customFormat="1" ht="41.25" customHeight="1">
      <c r="A18" s="53" t="s">
        <v>30</v>
      </c>
      <c r="B18" s="54" t="s">
        <v>31</v>
      </c>
      <c r="C18" s="52" t="s">
        <v>19</v>
      </c>
      <c r="D18" s="55">
        <v>828</v>
      </c>
      <c r="E18" s="56" t="s">
        <v>32</v>
      </c>
      <c r="F18" s="57"/>
      <c r="G18" s="56"/>
      <c r="H18" s="58">
        <f>140000+622000</f>
        <v>762000</v>
      </c>
      <c r="I18" s="59">
        <v>186000</v>
      </c>
      <c r="J18" s="59">
        <v>100000</v>
      </c>
      <c r="K18" s="59">
        <v>100000</v>
      </c>
      <c r="L18" s="59">
        <v>481203.6</v>
      </c>
      <c r="M18" s="59">
        <v>69000</v>
      </c>
      <c r="N18" s="59"/>
      <c r="O18" s="60">
        <f>609864.6+19263.013</f>
        <v>629127.613</v>
      </c>
      <c r="P18" s="60">
        <v>197539</v>
      </c>
      <c r="Q18" s="60">
        <v>315000</v>
      </c>
      <c r="R18" s="60">
        <v>379900</v>
      </c>
      <c r="S18" s="50"/>
    </row>
    <row r="19" spans="1:19" s="48" customFormat="1" ht="34.5" customHeight="1">
      <c r="A19" s="53"/>
      <c r="B19" s="54" t="s">
        <v>33</v>
      </c>
      <c r="C19" s="49" t="s">
        <v>34</v>
      </c>
      <c r="D19" s="61"/>
      <c r="E19" s="57"/>
      <c r="F19" s="56"/>
      <c r="G19" s="57"/>
      <c r="H19" s="58">
        <v>18000</v>
      </c>
      <c r="I19" s="59">
        <v>0</v>
      </c>
      <c r="J19" s="59">
        <v>0</v>
      </c>
      <c r="K19" s="59">
        <v>0</v>
      </c>
      <c r="L19" s="59"/>
      <c r="M19" s="59"/>
      <c r="N19" s="59"/>
      <c r="O19" s="60">
        <v>0</v>
      </c>
      <c r="P19" s="59">
        <v>0</v>
      </c>
      <c r="Q19" s="59">
        <v>0</v>
      </c>
      <c r="R19" s="59">
        <v>0</v>
      </c>
      <c r="S19" s="50"/>
    </row>
    <row r="20" spans="1:19" s="48" customFormat="1" ht="36.75" customHeight="1">
      <c r="A20" s="53"/>
      <c r="B20" s="54" t="s">
        <v>35</v>
      </c>
      <c r="C20" s="52" t="s">
        <v>19</v>
      </c>
      <c r="D20" s="55"/>
      <c r="E20" s="55"/>
      <c r="F20" s="62"/>
      <c r="G20" s="55"/>
      <c r="H20" s="58">
        <v>0</v>
      </c>
      <c r="I20" s="59">
        <v>0</v>
      </c>
      <c r="J20" s="59">
        <v>0</v>
      </c>
      <c r="K20" s="59">
        <v>0</v>
      </c>
      <c r="L20" s="59"/>
      <c r="M20" s="59"/>
      <c r="N20" s="59"/>
      <c r="O20" s="60">
        <v>0</v>
      </c>
      <c r="P20" s="59">
        <v>0</v>
      </c>
      <c r="Q20" s="59">
        <v>0</v>
      </c>
      <c r="R20" s="59">
        <v>0</v>
      </c>
      <c r="S20" s="50"/>
    </row>
    <row r="21" spans="1:19" s="48" customFormat="1" ht="42" customHeight="1">
      <c r="A21" s="53"/>
      <c r="B21" s="54" t="s">
        <v>36</v>
      </c>
      <c r="C21" s="49" t="s">
        <v>34</v>
      </c>
      <c r="D21" s="55"/>
      <c r="E21" s="55"/>
      <c r="F21" s="62"/>
      <c r="G21" s="55"/>
      <c r="H21" s="58">
        <v>0</v>
      </c>
      <c r="I21" s="59">
        <v>0</v>
      </c>
      <c r="J21" s="59">
        <v>0</v>
      </c>
      <c r="K21" s="59">
        <v>0</v>
      </c>
      <c r="L21" s="59"/>
      <c r="M21" s="59"/>
      <c r="N21" s="59"/>
      <c r="O21" s="60">
        <v>0</v>
      </c>
      <c r="P21" s="59">
        <v>0</v>
      </c>
      <c r="Q21" s="59">
        <v>0</v>
      </c>
      <c r="R21" s="59">
        <v>0</v>
      </c>
      <c r="S21" s="50"/>
    </row>
    <row r="22" spans="1:19" s="48" customFormat="1" ht="45" customHeight="1">
      <c r="A22" s="53"/>
      <c r="B22" s="54" t="s">
        <v>37</v>
      </c>
      <c r="C22" s="49" t="s">
        <v>34</v>
      </c>
      <c r="D22" s="55">
        <v>864</v>
      </c>
      <c r="E22" s="55">
        <v>1101</v>
      </c>
      <c r="F22" s="62" t="s">
        <v>38</v>
      </c>
      <c r="G22" s="55">
        <v>244</v>
      </c>
      <c r="H22" s="58">
        <v>0</v>
      </c>
      <c r="I22" s="59">
        <v>0</v>
      </c>
      <c r="J22" s="59">
        <v>0</v>
      </c>
      <c r="K22" s="59">
        <v>0</v>
      </c>
      <c r="L22" s="59">
        <v>10000</v>
      </c>
      <c r="M22" s="59"/>
      <c r="N22" s="59"/>
      <c r="O22" s="60">
        <f>10000+26200</f>
        <v>36200</v>
      </c>
      <c r="P22" s="59">
        <v>0</v>
      </c>
      <c r="Q22" s="59">
        <v>0</v>
      </c>
      <c r="R22" s="59">
        <v>0</v>
      </c>
      <c r="S22" s="50"/>
    </row>
    <row r="23" spans="1:19" s="14" customFormat="1" ht="20.25" customHeight="1">
      <c r="A23" s="40" t="s">
        <v>39</v>
      </c>
      <c r="B23" s="63" t="s">
        <v>40</v>
      </c>
      <c r="C23" s="64" t="s">
        <v>14</v>
      </c>
      <c r="D23" s="43"/>
      <c r="E23" s="43" t="s">
        <v>15</v>
      </c>
      <c r="F23" s="44" t="s">
        <v>15</v>
      </c>
      <c r="G23" s="43" t="s">
        <v>15</v>
      </c>
      <c r="H23" s="65">
        <f>SUM(H24:H24)</f>
        <v>5429.799999999999</v>
      </c>
      <c r="I23" s="46">
        <f>SUM(I24:I24)</f>
        <v>5277.5999999999985</v>
      </c>
      <c r="J23" s="46">
        <f>SUM(J24:J24)</f>
        <v>5307.5999999999985</v>
      </c>
      <c r="K23" s="46">
        <f>SUM(K24:K24)</f>
        <v>5315.0999999999985</v>
      </c>
      <c r="L23" s="46">
        <f aca="true" t="shared" si="7" ref="L23:R23">SUM(L24:L27)</f>
        <v>37439.1</v>
      </c>
      <c r="M23" s="46">
        <f t="shared" si="7"/>
        <v>6367.5</v>
      </c>
      <c r="N23" s="46">
        <f t="shared" si="7"/>
        <v>6319.4</v>
      </c>
      <c r="O23" s="33">
        <f t="shared" si="7"/>
        <v>42806.5</v>
      </c>
      <c r="P23" s="46">
        <f t="shared" si="7"/>
        <v>11948.3</v>
      </c>
      <c r="Q23" s="46">
        <f t="shared" si="7"/>
        <v>12276</v>
      </c>
      <c r="R23" s="46">
        <f t="shared" si="7"/>
        <v>12303.95</v>
      </c>
      <c r="S23" s="30"/>
    </row>
    <row r="24" spans="1:19" s="14" customFormat="1" ht="51.75" customHeight="1">
      <c r="A24" s="40"/>
      <c r="B24" s="63"/>
      <c r="C24" s="49" t="s">
        <v>17</v>
      </c>
      <c r="D24" s="43"/>
      <c r="E24" s="43" t="s">
        <v>15</v>
      </c>
      <c r="F24" s="44" t="s">
        <v>15</v>
      </c>
      <c r="G24" s="43" t="s">
        <v>15</v>
      </c>
      <c r="H24" s="65">
        <f>SUM(H29:H43)</f>
        <v>5429.799999999999</v>
      </c>
      <c r="I24" s="46">
        <f>SUM(I29:I43)</f>
        <v>5277.5999999999985</v>
      </c>
      <c r="J24" s="46">
        <f>SUM(J29:J43)</f>
        <v>5307.5999999999985</v>
      </c>
      <c r="K24" s="46">
        <f>SUM(K29:K43)</f>
        <v>5315.0999999999985</v>
      </c>
      <c r="L24" s="46">
        <f aca="true" t="shared" si="8" ref="L24:R24">SUM(L29:L35,L37:L39,L42:L43)</f>
        <v>33957.1</v>
      </c>
      <c r="M24" s="46">
        <f t="shared" si="8"/>
        <v>6367.5</v>
      </c>
      <c r="N24" s="46">
        <f t="shared" si="8"/>
        <v>6319.4</v>
      </c>
      <c r="O24" s="33">
        <f t="shared" si="8"/>
        <v>39324.5</v>
      </c>
      <c r="P24" s="46">
        <f t="shared" si="8"/>
        <v>11948.3</v>
      </c>
      <c r="Q24" s="46">
        <f t="shared" si="8"/>
        <v>12276</v>
      </c>
      <c r="R24" s="46">
        <f t="shared" si="8"/>
        <v>12303.95</v>
      </c>
      <c r="S24" s="5"/>
    </row>
    <row r="25" spans="1:19" s="14" customFormat="1" ht="36" customHeight="1">
      <c r="A25" s="66"/>
      <c r="B25" s="67"/>
      <c r="C25" s="49" t="s">
        <v>22</v>
      </c>
      <c r="D25" s="68"/>
      <c r="E25" s="68" t="s">
        <v>15</v>
      </c>
      <c r="F25" s="69" t="s">
        <v>15</v>
      </c>
      <c r="G25" s="68" t="s">
        <v>15</v>
      </c>
      <c r="H25" s="70"/>
      <c r="I25" s="33"/>
      <c r="J25" s="33"/>
      <c r="K25" s="33"/>
      <c r="L25" s="34">
        <f aca="true" t="shared" si="9" ref="L25:Q25">L41</f>
        <v>410</v>
      </c>
      <c r="M25" s="34">
        <f t="shared" si="9"/>
        <v>0</v>
      </c>
      <c r="N25" s="34">
        <f t="shared" si="9"/>
        <v>0</v>
      </c>
      <c r="O25" s="33">
        <f t="shared" si="9"/>
        <v>410</v>
      </c>
      <c r="P25" s="33">
        <f t="shared" si="9"/>
        <v>0</v>
      </c>
      <c r="Q25" s="33">
        <f t="shared" si="9"/>
        <v>0</v>
      </c>
      <c r="R25" s="33">
        <f>R41</f>
        <v>0</v>
      </c>
      <c r="S25" s="5"/>
    </row>
    <row r="26" spans="1:19" s="14" customFormat="1" ht="36" customHeight="1">
      <c r="A26" s="66"/>
      <c r="B26" s="67"/>
      <c r="C26" s="49" t="s">
        <v>24</v>
      </c>
      <c r="D26" s="68"/>
      <c r="E26" s="68" t="s">
        <v>15</v>
      </c>
      <c r="F26" s="69" t="s">
        <v>15</v>
      </c>
      <c r="G26" s="68" t="s">
        <v>15</v>
      </c>
      <c r="H26" s="70"/>
      <c r="I26" s="33"/>
      <c r="J26" s="33"/>
      <c r="K26" s="33"/>
      <c r="L26" s="34">
        <f aca="true" t="shared" si="10" ref="L26:Q26">L40</f>
        <v>2432</v>
      </c>
      <c r="M26" s="34">
        <f t="shared" si="10"/>
        <v>0</v>
      </c>
      <c r="N26" s="34">
        <f t="shared" si="10"/>
        <v>0</v>
      </c>
      <c r="O26" s="33">
        <f t="shared" si="10"/>
        <v>2432</v>
      </c>
      <c r="P26" s="33">
        <f t="shared" si="10"/>
        <v>0</v>
      </c>
      <c r="Q26" s="33">
        <f t="shared" si="10"/>
        <v>0</v>
      </c>
      <c r="R26" s="33">
        <f>R40</f>
        <v>0</v>
      </c>
      <c r="S26" s="5"/>
    </row>
    <row r="27" spans="1:19" s="14" customFormat="1" ht="40.5" customHeight="1">
      <c r="A27" s="66"/>
      <c r="B27" s="67"/>
      <c r="C27" s="49" t="s">
        <v>26</v>
      </c>
      <c r="D27" s="68"/>
      <c r="E27" s="68" t="s">
        <v>15</v>
      </c>
      <c r="F27" s="69" t="s">
        <v>15</v>
      </c>
      <c r="G27" s="68" t="s">
        <v>15</v>
      </c>
      <c r="H27" s="70"/>
      <c r="I27" s="33"/>
      <c r="J27" s="33"/>
      <c r="K27" s="33"/>
      <c r="L27" s="34">
        <f aca="true" t="shared" si="11" ref="L27:Q27">L36</f>
        <v>640</v>
      </c>
      <c r="M27" s="34">
        <f t="shared" si="11"/>
        <v>0</v>
      </c>
      <c r="N27" s="34">
        <f t="shared" si="11"/>
        <v>0</v>
      </c>
      <c r="O27" s="33">
        <f t="shared" si="11"/>
        <v>640</v>
      </c>
      <c r="P27" s="33">
        <f t="shared" si="11"/>
        <v>0</v>
      </c>
      <c r="Q27" s="33">
        <f t="shared" si="11"/>
        <v>0</v>
      </c>
      <c r="R27" s="33">
        <f>R36</f>
        <v>0</v>
      </c>
      <c r="S27" s="5"/>
    </row>
    <row r="28" spans="1:19" s="14" customFormat="1" ht="24">
      <c r="A28" s="66" t="s">
        <v>30</v>
      </c>
      <c r="B28" s="23"/>
      <c r="C28" s="71"/>
      <c r="D28" s="72"/>
      <c r="E28" s="72"/>
      <c r="F28" s="73"/>
      <c r="G28" s="72"/>
      <c r="H28" s="74"/>
      <c r="I28" s="60"/>
      <c r="J28" s="60"/>
      <c r="K28" s="60"/>
      <c r="L28" s="75"/>
      <c r="M28" s="75"/>
      <c r="N28" s="75"/>
      <c r="O28" s="60"/>
      <c r="P28" s="60"/>
      <c r="Q28" s="60"/>
      <c r="R28" s="60"/>
      <c r="S28" s="5"/>
    </row>
    <row r="29" spans="1:19" s="78" customFormat="1" ht="51" customHeight="1">
      <c r="A29" s="76"/>
      <c r="B29" s="77" t="s">
        <v>41</v>
      </c>
      <c r="C29" s="23" t="s">
        <v>34</v>
      </c>
      <c r="D29" s="68">
        <v>864</v>
      </c>
      <c r="E29" s="72" t="s">
        <v>15</v>
      </c>
      <c r="F29" s="73" t="s">
        <v>15</v>
      </c>
      <c r="G29" s="72" t="s">
        <v>15</v>
      </c>
      <c r="H29" s="74">
        <v>0</v>
      </c>
      <c r="I29" s="60">
        <v>0</v>
      </c>
      <c r="J29" s="60">
        <v>0</v>
      </c>
      <c r="K29" s="60">
        <v>0</v>
      </c>
      <c r="L29" s="75"/>
      <c r="M29" s="75"/>
      <c r="N29" s="75"/>
      <c r="O29" s="60">
        <f aca="true" t="shared" si="12" ref="O29:R37">I29+L29</f>
        <v>0</v>
      </c>
      <c r="P29" s="59">
        <f t="shared" si="12"/>
        <v>0</v>
      </c>
      <c r="Q29" s="59">
        <f t="shared" si="12"/>
        <v>0</v>
      </c>
      <c r="R29" s="59">
        <f t="shared" si="12"/>
        <v>0</v>
      </c>
      <c r="S29" s="5"/>
    </row>
    <row r="30" spans="1:19" s="78" customFormat="1" ht="29.25" customHeight="1">
      <c r="A30" s="76"/>
      <c r="B30" s="79" t="s">
        <v>42</v>
      </c>
      <c r="C30" s="23" t="s">
        <v>34</v>
      </c>
      <c r="D30" s="68"/>
      <c r="E30" s="68"/>
      <c r="F30" s="69"/>
      <c r="G30" s="68"/>
      <c r="H30" s="70"/>
      <c r="I30" s="33"/>
      <c r="J30" s="33"/>
      <c r="K30" s="60"/>
      <c r="L30" s="34"/>
      <c r="M30" s="34"/>
      <c r="N30" s="75"/>
      <c r="O30" s="60">
        <f t="shared" si="12"/>
        <v>0</v>
      </c>
      <c r="P30" s="59">
        <f t="shared" si="12"/>
        <v>0</v>
      </c>
      <c r="Q30" s="59">
        <f t="shared" si="12"/>
        <v>0</v>
      </c>
      <c r="R30" s="59">
        <f t="shared" si="12"/>
        <v>0</v>
      </c>
      <c r="S30" s="5"/>
    </row>
    <row r="31" spans="1:19" s="78" customFormat="1" ht="32.25" customHeight="1">
      <c r="A31" s="76"/>
      <c r="B31" s="23" t="s">
        <v>43</v>
      </c>
      <c r="C31" s="23" t="s">
        <v>34</v>
      </c>
      <c r="D31" s="68">
        <v>864</v>
      </c>
      <c r="E31" s="73" t="s">
        <v>44</v>
      </c>
      <c r="F31" s="73" t="s">
        <v>45</v>
      </c>
      <c r="G31" s="80">
        <v>611</v>
      </c>
      <c r="H31" s="72">
        <v>3006.6</v>
      </c>
      <c r="I31" s="60">
        <f>22638.6-19756.3+480-244.9</f>
        <v>3117.399999999999</v>
      </c>
      <c r="J31" s="60">
        <f>23138-19745.7-244.9</f>
        <v>3147.399999999999</v>
      </c>
      <c r="K31" s="60">
        <f>23663.5-20263.7-244.9</f>
        <v>3154.899999999999</v>
      </c>
      <c r="L31" s="75"/>
      <c r="M31" s="75"/>
      <c r="N31" s="75"/>
      <c r="O31" s="60">
        <f>I31+L31+28.3</f>
        <v>3145.6999999999994</v>
      </c>
      <c r="P31" s="59">
        <v>3530.7</v>
      </c>
      <c r="Q31" s="59">
        <v>3543.2</v>
      </c>
      <c r="R31" s="59">
        <v>3555.85</v>
      </c>
      <c r="S31" s="5" t="s">
        <v>46</v>
      </c>
    </row>
    <row r="32" spans="1:19" s="78" customFormat="1" ht="32.25" customHeight="1">
      <c r="A32" s="76"/>
      <c r="B32" s="23"/>
      <c r="C32" s="23"/>
      <c r="D32" s="68">
        <v>864</v>
      </c>
      <c r="E32" s="73" t="s">
        <v>44</v>
      </c>
      <c r="F32" s="73" t="s">
        <v>45</v>
      </c>
      <c r="G32" s="80">
        <v>621</v>
      </c>
      <c r="H32" s="72"/>
      <c r="I32" s="60"/>
      <c r="J32" s="60"/>
      <c r="K32" s="60"/>
      <c r="L32" s="75">
        <v>4311</v>
      </c>
      <c r="M32" s="75">
        <v>6367.5</v>
      </c>
      <c r="N32" s="75">
        <v>6319.4</v>
      </c>
      <c r="O32" s="60">
        <f>I32+L32+61.5</f>
        <v>4372.5</v>
      </c>
      <c r="P32" s="59">
        <v>6693.2</v>
      </c>
      <c r="Q32" s="59">
        <v>7008.3</v>
      </c>
      <c r="R32" s="59">
        <v>7023.6</v>
      </c>
      <c r="S32" s="5" t="s">
        <v>47</v>
      </c>
    </row>
    <row r="33" spans="1:20" s="78" customFormat="1" ht="27.75" customHeight="1">
      <c r="A33" s="76"/>
      <c r="B33" s="23" t="s">
        <v>48</v>
      </c>
      <c r="C33" s="23" t="s">
        <v>34</v>
      </c>
      <c r="D33" s="68">
        <v>864</v>
      </c>
      <c r="E33" s="73"/>
      <c r="F33" s="73"/>
      <c r="G33" s="80"/>
      <c r="H33" s="60">
        <v>38</v>
      </c>
      <c r="I33" s="60">
        <v>45</v>
      </c>
      <c r="J33" s="60">
        <v>45</v>
      </c>
      <c r="K33" s="60">
        <v>45</v>
      </c>
      <c r="L33" s="75">
        <f>1000+1401</f>
        <v>2401</v>
      </c>
      <c r="M33" s="75">
        <v>0</v>
      </c>
      <c r="N33" s="75">
        <v>0</v>
      </c>
      <c r="O33" s="60">
        <f t="shared" si="12"/>
        <v>2446</v>
      </c>
      <c r="P33" s="59">
        <v>0</v>
      </c>
      <c r="Q33" s="59">
        <v>0</v>
      </c>
      <c r="R33" s="59">
        <v>0</v>
      </c>
      <c r="S33" s="5" t="s">
        <v>49</v>
      </c>
      <c r="T33" s="81">
        <f>1000000+1401000</f>
        <v>2401000</v>
      </c>
    </row>
    <row r="34" spans="1:20" s="78" customFormat="1" ht="27.75" customHeight="1">
      <c r="A34" s="76"/>
      <c r="B34" s="23"/>
      <c r="C34" s="23"/>
      <c r="D34" s="68">
        <v>864</v>
      </c>
      <c r="E34" s="73"/>
      <c r="F34" s="73"/>
      <c r="G34" s="80"/>
      <c r="H34" s="60"/>
      <c r="I34" s="60"/>
      <c r="J34" s="60"/>
      <c r="K34" s="60"/>
      <c r="L34" s="75">
        <v>3600</v>
      </c>
      <c r="M34" s="75"/>
      <c r="N34" s="75"/>
      <c r="O34" s="60">
        <f t="shared" si="12"/>
        <v>3600</v>
      </c>
      <c r="P34" s="59">
        <f t="shared" si="12"/>
        <v>0</v>
      </c>
      <c r="Q34" s="59">
        <f t="shared" si="12"/>
        <v>0</v>
      </c>
      <c r="R34" s="59">
        <v>0</v>
      </c>
      <c r="S34" s="5" t="s">
        <v>50</v>
      </c>
      <c r="T34" s="81"/>
    </row>
    <row r="35" spans="1:20" s="14" customFormat="1" ht="36" customHeight="1">
      <c r="A35" s="76"/>
      <c r="B35" s="82" t="s">
        <v>48</v>
      </c>
      <c r="C35" s="83" t="s">
        <v>34</v>
      </c>
      <c r="D35" s="68">
        <v>864</v>
      </c>
      <c r="E35" s="73"/>
      <c r="F35" s="73"/>
      <c r="G35" s="80"/>
      <c r="H35" s="74"/>
      <c r="I35" s="60"/>
      <c r="J35" s="60"/>
      <c r="K35" s="60"/>
      <c r="L35" s="75">
        <v>8250</v>
      </c>
      <c r="M35" s="75">
        <v>0</v>
      </c>
      <c r="N35" s="75">
        <v>0</v>
      </c>
      <c r="O35" s="60">
        <f t="shared" si="12"/>
        <v>8250</v>
      </c>
      <c r="P35" s="59">
        <f t="shared" si="12"/>
        <v>0</v>
      </c>
      <c r="Q35" s="59">
        <f t="shared" si="12"/>
        <v>0</v>
      </c>
      <c r="R35" s="59">
        <v>0</v>
      </c>
      <c r="S35" s="5"/>
      <c r="T35" s="81"/>
    </row>
    <row r="36" spans="1:20" s="14" customFormat="1" ht="39" customHeight="1">
      <c r="A36" s="76"/>
      <c r="B36" s="82"/>
      <c r="C36" s="23" t="s">
        <v>26</v>
      </c>
      <c r="D36" s="68">
        <v>831</v>
      </c>
      <c r="E36" s="73"/>
      <c r="F36" s="73"/>
      <c r="G36" s="80"/>
      <c r="H36" s="74"/>
      <c r="I36" s="60"/>
      <c r="J36" s="60"/>
      <c r="K36" s="60"/>
      <c r="L36" s="75">
        <v>640</v>
      </c>
      <c r="M36" s="75"/>
      <c r="N36" s="75"/>
      <c r="O36" s="60">
        <f t="shared" si="12"/>
        <v>640</v>
      </c>
      <c r="P36" s="59">
        <f t="shared" si="12"/>
        <v>0</v>
      </c>
      <c r="Q36" s="59">
        <f t="shared" si="12"/>
        <v>0</v>
      </c>
      <c r="R36" s="59">
        <v>0</v>
      </c>
      <c r="S36" s="5"/>
      <c r="T36" s="81"/>
    </row>
    <row r="37" spans="1:20" s="14" customFormat="1" ht="69.75" customHeight="1">
      <c r="A37" s="84"/>
      <c r="B37" s="85" t="s">
        <v>51</v>
      </c>
      <c r="C37" s="23" t="s">
        <v>34</v>
      </c>
      <c r="D37" s="68"/>
      <c r="E37" s="73"/>
      <c r="F37" s="73"/>
      <c r="G37" s="80"/>
      <c r="H37" s="74"/>
      <c r="I37" s="60"/>
      <c r="J37" s="60"/>
      <c r="K37" s="60"/>
      <c r="L37" s="75"/>
      <c r="M37" s="75"/>
      <c r="N37" s="75"/>
      <c r="O37" s="60">
        <f t="shared" si="12"/>
        <v>0</v>
      </c>
      <c r="P37" s="59">
        <f t="shared" si="12"/>
        <v>0</v>
      </c>
      <c r="Q37" s="59">
        <f t="shared" si="12"/>
        <v>0</v>
      </c>
      <c r="R37" s="59">
        <v>0</v>
      </c>
      <c r="S37" s="5"/>
      <c r="T37" s="81"/>
    </row>
    <row r="38" spans="1:24" s="78" customFormat="1" ht="18.75" customHeight="1">
      <c r="A38" s="86"/>
      <c r="B38" s="87" t="s">
        <v>52</v>
      </c>
      <c r="C38" s="23" t="s">
        <v>34</v>
      </c>
      <c r="D38" s="68">
        <v>864</v>
      </c>
      <c r="E38" s="88" t="s">
        <v>44</v>
      </c>
      <c r="F38" s="88" t="s">
        <v>53</v>
      </c>
      <c r="G38" s="88" t="s">
        <v>54</v>
      </c>
      <c r="H38" s="72">
        <f>2115.2</f>
        <v>2115.2</v>
      </c>
      <c r="I38" s="60">
        <v>672.6</v>
      </c>
      <c r="J38" s="60">
        <v>672.6</v>
      </c>
      <c r="K38" s="60">
        <v>672.6</v>
      </c>
      <c r="L38" s="75"/>
      <c r="M38" s="75"/>
      <c r="N38" s="75"/>
      <c r="O38" s="60">
        <f>I38+L38+1447.2</f>
        <v>2119.8</v>
      </c>
      <c r="P38" s="89">
        <v>638.9</v>
      </c>
      <c r="Q38" s="89">
        <v>639</v>
      </c>
      <c r="R38" s="89">
        <v>639</v>
      </c>
      <c r="S38" s="30"/>
      <c r="T38" s="81"/>
      <c r="X38" s="90"/>
    </row>
    <row r="39" spans="1:24" s="78" customFormat="1" ht="18.75" customHeight="1">
      <c r="A39" s="86"/>
      <c r="B39" s="87"/>
      <c r="C39" s="23"/>
      <c r="D39" s="68">
        <v>864</v>
      </c>
      <c r="E39" s="88" t="s">
        <v>44</v>
      </c>
      <c r="F39" s="88" t="s">
        <v>53</v>
      </c>
      <c r="G39" s="80">
        <v>622</v>
      </c>
      <c r="H39" s="72">
        <v>270</v>
      </c>
      <c r="I39" s="60">
        <v>1442.6</v>
      </c>
      <c r="J39" s="60">
        <v>1442.6</v>
      </c>
      <c r="K39" s="60">
        <v>1442.6</v>
      </c>
      <c r="L39" s="75">
        <f>-386.7+14883.3+898.5</f>
        <v>15395.099999999999</v>
      </c>
      <c r="M39" s="75"/>
      <c r="N39" s="75"/>
      <c r="O39" s="60">
        <f>I39+L39-1447.2</f>
        <v>15390.499999999996</v>
      </c>
      <c r="P39" s="89">
        <v>1085.5</v>
      </c>
      <c r="Q39" s="89">
        <v>1085.5</v>
      </c>
      <c r="R39" s="89">
        <v>1085.5</v>
      </c>
      <c r="S39" s="5"/>
      <c r="T39" s="81">
        <f>-386700+898501+14883300</f>
        <v>15395101</v>
      </c>
      <c r="X39" s="90"/>
    </row>
    <row r="40" spans="1:19" s="78" customFormat="1" ht="25.5" customHeight="1">
      <c r="A40" s="86"/>
      <c r="B40" s="87"/>
      <c r="C40" s="23" t="s">
        <v>24</v>
      </c>
      <c r="D40" s="68">
        <v>856</v>
      </c>
      <c r="E40" s="88"/>
      <c r="F40" s="88"/>
      <c r="G40" s="80"/>
      <c r="H40" s="72"/>
      <c r="I40" s="60"/>
      <c r="J40" s="60"/>
      <c r="K40" s="60"/>
      <c r="L40" s="75">
        <v>2432</v>
      </c>
      <c r="M40" s="75"/>
      <c r="N40" s="75"/>
      <c r="O40" s="60">
        <f aca="true" t="shared" si="13" ref="O40:Q43">I40+L40</f>
        <v>2432</v>
      </c>
      <c r="P40" s="59">
        <f t="shared" si="13"/>
        <v>0</v>
      </c>
      <c r="Q40" s="59">
        <f t="shared" si="13"/>
        <v>0</v>
      </c>
      <c r="R40" s="59">
        <v>0</v>
      </c>
      <c r="S40" s="5"/>
    </row>
    <row r="41" spans="1:19" s="78" customFormat="1" ht="25.5" customHeight="1">
      <c r="A41" s="86"/>
      <c r="B41" s="87"/>
      <c r="C41" s="23" t="s">
        <v>22</v>
      </c>
      <c r="D41" s="68">
        <v>875</v>
      </c>
      <c r="E41" s="88"/>
      <c r="F41" s="88"/>
      <c r="G41" s="80"/>
      <c r="H41" s="72"/>
      <c r="I41" s="60"/>
      <c r="J41" s="60"/>
      <c r="K41" s="60"/>
      <c r="L41" s="75">
        <v>410</v>
      </c>
      <c r="M41" s="75"/>
      <c r="N41" s="75"/>
      <c r="O41" s="60">
        <f t="shared" si="13"/>
        <v>410</v>
      </c>
      <c r="P41" s="59">
        <f t="shared" si="13"/>
        <v>0</v>
      </c>
      <c r="Q41" s="59">
        <f t="shared" si="13"/>
        <v>0</v>
      </c>
      <c r="R41" s="59">
        <v>0</v>
      </c>
      <c r="S41" s="5"/>
    </row>
    <row r="42" spans="1:19" s="14" customFormat="1" ht="40.5" customHeight="1">
      <c r="A42" s="86"/>
      <c r="B42" s="77" t="s">
        <v>55</v>
      </c>
      <c r="C42" s="23" t="s">
        <v>34</v>
      </c>
      <c r="D42" s="68"/>
      <c r="E42" s="73"/>
      <c r="F42" s="73"/>
      <c r="G42" s="72"/>
      <c r="H42" s="74"/>
      <c r="I42" s="60"/>
      <c r="J42" s="60"/>
      <c r="K42" s="60"/>
      <c r="L42" s="75"/>
      <c r="M42" s="75"/>
      <c r="N42" s="75"/>
      <c r="O42" s="60">
        <f t="shared" si="13"/>
        <v>0</v>
      </c>
      <c r="P42" s="59">
        <f t="shared" si="13"/>
        <v>0</v>
      </c>
      <c r="Q42" s="59">
        <f t="shared" si="13"/>
        <v>0</v>
      </c>
      <c r="R42" s="59">
        <v>0</v>
      </c>
      <c r="S42" s="5"/>
    </row>
    <row r="43" spans="1:26" s="14" customFormat="1" ht="51.75" customHeight="1">
      <c r="A43" s="86"/>
      <c r="B43" s="85" t="s">
        <v>56</v>
      </c>
      <c r="C43" s="91" t="s">
        <v>34</v>
      </c>
      <c r="D43" s="68"/>
      <c r="E43" s="73"/>
      <c r="F43" s="73"/>
      <c r="G43" s="72"/>
      <c r="H43" s="74"/>
      <c r="I43" s="60"/>
      <c r="J43" s="60"/>
      <c r="K43" s="60"/>
      <c r="L43" s="75"/>
      <c r="M43" s="75"/>
      <c r="N43" s="75"/>
      <c r="O43" s="60">
        <f t="shared" si="13"/>
        <v>0</v>
      </c>
      <c r="P43" s="59">
        <f t="shared" si="13"/>
        <v>0</v>
      </c>
      <c r="Q43" s="59">
        <f t="shared" si="13"/>
        <v>0</v>
      </c>
      <c r="R43" s="59">
        <v>0</v>
      </c>
      <c r="S43" s="5"/>
      <c r="X43" s="14">
        <v>52702.001</v>
      </c>
      <c r="Y43" s="31">
        <f>O43+O38+O39+O58+O72+O73+O35+O22-26200</f>
        <v>52702</v>
      </c>
      <c r="Z43" s="31">
        <f>Y43-X43</f>
        <v>-0.000999999996565748</v>
      </c>
    </row>
    <row r="44" spans="1:21" s="14" customFormat="1" ht="31.5" customHeight="1">
      <c r="A44" s="86" t="s">
        <v>57</v>
      </c>
      <c r="B44" s="92" t="s">
        <v>58</v>
      </c>
      <c r="C44" s="93" t="s">
        <v>14</v>
      </c>
      <c r="D44" s="68"/>
      <c r="E44" s="73"/>
      <c r="F44" s="62"/>
      <c r="G44" s="55"/>
      <c r="H44" s="65">
        <f aca="true" t="shared" si="14" ref="H44:R44">H45</f>
        <v>203594.4</v>
      </c>
      <c r="I44" s="46">
        <f t="shared" si="14"/>
        <v>218148.10000000003</v>
      </c>
      <c r="J44" s="46">
        <f t="shared" si="14"/>
        <v>221020.2</v>
      </c>
      <c r="K44" s="46">
        <f t="shared" si="14"/>
        <v>218376.80000000002</v>
      </c>
      <c r="L44" s="46">
        <f t="shared" si="14"/>
        <v>68105</v>
      </c>
      <c r="M44" s="46">
        <f t="shared" si="14"/>
        <v>-1606.3999999999999</v>
      </c>
      <c r="N44" s="46">
        <f t="shared" si="14"/>
        <v>-1558.3</v>
      </c>
      <c r="O44" s="33">
        <f t="shared" si="14"/>
        <v>295287.7</v>
      </c>
      <c r="P44" s="46">
        <f t="shared" si="14"/>
        <v>279331.2</v>
      </c>
      <c r="Q44" s="46">
        <f t="shared" si="14"/>
        <v>279137.2</v>
      </c>
      <c r="R44" s="46">
        <f t="shared" si="14"/>
        <v>281611.8</v>
      </c>
      <c r="S44" s="30"/>
      <c r="T44" s="31" t="s">
        <v>59</v>
      </c>
      <c r="U44" s="31"/>
    </row>
    <row r="45" spans="1:25" s="14" customFormat="1" ht="63" customHeight="1">
      <c r="A45" s="86"/>
      <c r="B45" s="77"/>
      <c r="C45" s="93" t="s">
        <v>17</v>
      </c>
      <c r="D45" s="68"/>
      <c r="E45" s="73"/>
      <c r="F45" s="73"/>
      <c r="G45" s="72"/>
      <c r="H45" s="70">
        <f aca="true" t="shared" si="15" ref="H45:Q45">SUM(H47:H58)</f>
        <v>203594.4</v>
      </c>
      <c r="I45" s="33">
        <f t="shared" si="15"/>
        <v>218148.10000000003</v>
      </c>
      <c r="J45" s="33">
        <f t="shared" si="15"/>
        <v>221020.2</v>
      </c>
      <c r="K45" s="33">
        <f t="shared" si="15"/>
        <v>218376.80000000002</v>
      </c>
      <c r="L45" s="34">
        <f t="shared" si="15"/>
        <v>68105</v>
      </c>
      <c r="M45" s="34">
        <f t="shared" si="15"/>
        <v>-1606.3999999999999</v>
      </c>
      <c r="N45" s="34">
        <f t="shared" si="15"/>
        <v>-1558.3</v>
      </c>
      <c r="O45" s="33">
        <f t="shared" si="15"/>
        <v>295287.7</v>
      </c>
      <c r="P45" s="33">
        <f>SUM(P47:P58)</f>
        <v>279331.2</v>
      </c>
      <c r="Q45" s="33">
        <f t="shared" si="15"/>
        <v>279137.2</v>
      </c>
      <c r="R45" s="33">
        <f>SUM(R47:R58)</f>
        <v>281611.8</v>
      </c>
      <c r="S45" s="5"/>
      <c r="T45" s="94">
        <v>80301</v>
      </c>
      <c r="U45" s="94"/>
      <c r="W45" s="14">
        <v>249414</v>
      </c>
      <c r="X45" s="31">
        <f>O45-O49-O52-O58-O55</f>
        <v>250068.09999999998</v>
      </c>
      <c r="Y45" s="31">
        <f>X45-W45</f>
        <v>654.0999999999767</v>
      </c>
    </row>
    <row r="46" spans="1:24" s="14" customFormat="1" ht="23.25" customHeight="1">
      <c r="A46" s="66" t="s">
        <v>30</v>
      </c>
      <c r="B46" s="92"/>
      <c r="C46" s="67"/>
      <c r="D46" s="68"/>
      <c r="E46" s="73"/>
      <c r="F46" s="73"/>
      <c r="G46" s="72"/>
      <c r="H46" s="74"/>
      <c r="I46" s="60"/>
      <c r="J46" s="60"/>
      <c r="K46" s="60"/>
      <c r="L46" s="75"/>
      <c r="M46" s="75"/>
      <c r="N46" s="75"/>
      <c r="O46" s="60"/>
      <c r="P46" s="60"/>
      <c r="Q46" s="60"/>
      <c r="R46" s="60"/>
      <c r="S46" s="5"/>
      <c r="T46" s="95">
        <f>-1310382.01</f>
        <v>-1310382.01</v>
      </c>
      <c r="U46" s="36">
        <v>621</v>
      </c>
      <c r="V46" s="96">
        <f>T47+T48+T49+T50+T51+T52+T55+T57+T60</f>
        <v>28022792.23</v>
      </c>
      <c r="X46" s="96"/>
    </row>
    <row r="47" spans="1:26" s="14" customFormat="1" ht="22.5" customHeight="1">
      <c r="A47" s="86"/>
      <c r="B47" s="23" t="s">
        <v>60</v>
      </c>
      <c r="C47" s="23" t="s">
        <v>34</v>
      </c>
      <c r="D47" s="68">
        <v>864</v>
      </c>
      <c r="E47" s="88" t="s">
        <v>61</v>
      </c>
      <c r="F47" s="88" t="s">
        <v>62</v>
      </c>
      <c r="G47" s="88" t="s">
        <v>63</v>
      </c>
      <c r="H47" s="97">
        <f>128958+28048.4+18224.2</f>
        <v>175230.6</v>
      </c>
      <c r="I47" s="98">
        <f>138085+9599.2</f>
        <v>147684.2</v>
      </c>
      <c r="J47" s="98">
        <f>140292.1+9010.6</f>
        <v>149302.7</v>
      </c>
      <c r="K47" s="98">
        <f>139115.2+8781.4</f>
        <v>147896.6</v>
      </c>
      <c r="L47" s="99">
        <v>28242.8</v>
      </c>
      <c r="M47" s="99">
        <v>116.2</v>
      </c>
      <c r="N47" s="99">
        <v>184.7</v>
      </c>
      <c r="O47" s="60">
        <f>I47+L47+8775.6+1940.2+9174.6-4301.1</f>
        <v>191516.30000000002</v>
      </c>
      <c r="P47" s="60">
        <v>221755.4</v>
      </c>
      <c r="Q47" s="60">
        <f>223654.4-0.1</f>
        <v>223654.3</v>
      </c>
      <c r="R47" s="60">
        <v>226383.9</v>
      </c>
      <c r="S47" s="5" t="s">
        <v>64</v>
      </c>
      <c r="T47" s="100">
        <f>-88320.31</f>
        <v>-88320.31</v>
      </c>
      <c r="U47" s="36">
        <v>611</v>
      </c>
      <c r="V47" s="101">
        <f>T56+T63</f>
        <v>17326800</v>
      </c>
      <c r="W47" s="31"/>
      <c r="X47" s="102"/>
      <c r="Y47" s="102"/>
      <c r="Z47" s="102"/>
    </row>
    <row r="48" spans="1:24" s="14" customFormat="1" ht="23.25" customHeight="1">
      <c r="A48" s="86"/>
      <c r="B48" s="23"/>
      <c r="C48" s="23"/>
      <c r="D48" s="68">
        <v>864</v>
      </c>
      <c r="E48" s="88" t="s">
        <v>61</v>
      </c>
      <c r="F48" s="88" t="s">
        <v>62</v>
      </c>
      <c r="G48" s="88" t="s">
        <v>65</v>
      </c>
      <c r="H48" s="97"/>
      <c r="I48" s="98">
        <v>27615.3</v>
      </c>
      <c r="J48" s="98">
        <v>28629.5</v>
      </c>
      <c r="K48" s="98">
        <v>32268.9</v>
      </c>
      <c r="L48" s="99">
        <v>731.2</v>
      </c>
      <c r="M48" s="99">
        <v>-1722.6</v>
      </c>
      <c r="N48" s="99">
        <v>-1743</v>
      </c>
      <c r="O48" s="60">
        <f>I48+L48+259</f>
        <v>28605.5</v>
      </c>
      <c r="P48" s="60">
        <v>28433.4</v>
      </c>
      <c r="Q48" s="60">
        <v>28913.2</v>
      </c>
      <c r="R48" s="60">
        <v>28529.5</v>
      </c>
      <c r="S48" s="5" t="s">
        <v>66</v>
      </c>
      <c r="T48" s="100">
        <f>-336606.82</f>
        <v>-336606.82</v>
      </c>
      <c r="U48" s="36">
        <v>611</v>
      </c>
      <c r="X48" s="103"/>
    </row>
    <row r="49" spans="1:26" s="14" customFormat="1" ht="18.75" customHeight="1">
      <c r="A49" s="86"/>
      <c r="B49" s="23"/>
      <c r="C49" s="23"/>
      <c r="D49" s="68">
        <v>864</v>
      </c>
      <c r="E49" s="88"/>
      <c r="F49" s="80"/>
      <c r="G49" s="88"/>
      <c r="H49" s="97"/>
      <c r="I49" s="60">
        <f>19756.3</f>
        <v>19756.3</v>
      </c>
      <c r="J49" s="60">
        <f>19745.7</f>
        <v>19745.7</v>
      </c>
      <c r="K49" s="60">
        <f>20263.7</f>
        <v>20263.7</v>
      </c>
      <c r="L49" s="75">
        <v>1684.6</v>
      </c>
      <c r="M49" s="75"/>
      <c r="N49" s="75"/>
      <c r="O49" s="60">
        <f>I49+L49-6813.7</f>
        <v>14627.199999999997</v>
      </c>
      <c r="P49" s="60">
        <v>0</v>
      </c>
      <c r="Q49" s="60">
        <v>0</v>
      </c>
      <c r="R49" s="60">
        <v>0</v>
      </c>
      <c r="S49" s="5" t="s">
        <v>49</v>
      </c>
      <c r="T49" s="100">
        <f>750479</f>
        <v>750479</v>
      </c>
      <c r="U49" s="36">
        <v>611</v>
      </c>
      <c r="X49" s="104"/>
      <c r="Y49" s="31"/>
      <c r="Z49" s="31"/>
    </row>
    <row r="50" spans="1:24" s="14" customFormat="1" ht="24" customHeight="1">
      <c r="A50" s="86"/>
      <c r="B50" s="23"/>
      <c r="C50" s="23"/>
      <c r="D50" s="68">
        <v>864</v>
      </c>
      <c r="E50" s="88" t="s">
        <v>61</v>
      </c>
      <c r="F50" s="105" t="s">
        <v>62</v>
      </c>
      <c r="G50" s="88" t="s">
        <v>54</v>
      </c>
      <c r="H50" s="97"/>
      <c r="I50" s="60">
        <v>4157.5</v>
      </c>
      <c r="J50" s="60">
        <v>4159.5</v>
      </c>
      <c r="K50" s="60">
        <v>4159.7</v>
      </c>
      <c r="L50" s="75">
        <f>7752+9574.8+1154</f>
        <v>18480.8</v>
      </c>
      <c r="M50" s="75"/>
      <c r="N50" s="75"/>
      <c r="O50" s="60">
        <f aca="true" t="shared" si="16" ref="O50:O58">I50+L50</f>
        <v>22638.3</v>
      </c>
      <c r="P50" s="106">
        <v>9393.2</v>
      </c>
      <c r="Q50" s="106">
        <v>12181.6</v>
      </c>
      <c r="R50" s="106">
        <v>12210.1</v>
      </c>
      <c r="S50" s="5" t="s">
        <v>67</v>
      </c>
      <c r="T50" s="100"/>
      <c r="U50" s="36"/>
      <c r="X50" s="31"/>
    </row>
    <row r="51" spans="1:24" s="14" customFormat="1" ht="22.5" customHeight="1">
      <c r="A51" s="86"/>
      <c r="B51" s="23"/>
      <c r="C51" s="23"/>
      <c r="D51" s="68">
        <v>864</v>
      </c>
      <c r="E51" s="88" t="s">
        <v>61</v>
      </c>
      <c r="F51" s="105" t="s">
        <v>62</v>
      </c>
      <c r="G51" s="88" t="s">
        <v>68</v>
      </c>
      <c r="H51" s="97"/>
      <c r="I51" s="60">
        <v>450</v>
      </c>
      <c r="J51" s="60">
        <v>450</v>
      </c>
      <c r="K51" s="60">
        <v>450</v>
      </c>
      <c r="L51" s="75">
        <v>800</v>
      </c>
      <c r="M51" s="75"/>
      <c r="N51" s="75"/>
      <c r="O51" s="60">
        <f t="shared" si="16"/>
        <v>1250</v>
      </c>
      <c r="P51" s="60">
        <v>512.5</v>
      </c>
      <c r="Q51" s="60">
        <f>K51+N51</f>
        <v>450</v>
      </c>
      <c r="R51" s="60">
        <v>450</v>
      </c>
      <c r="S51" s="5" t="s">
        <v>69</v>
      </c>
      <c r="T51" s="100">
        <v>182713</v>
      </c>
      <c r="U51" s="36">
        <v>611</v>
      </c>
      <c r="X51" s="31"/>
    </row>
    <row r="52" spans="1:24" s="14" customFormat="1" ht="39" customHeight="1">
      <c r="A52" s="86"/>
      <c r="B52" s="77" t="s">
        <v>70</v>
      </c>
      <c r="C52" s="23" t="s">
        <v>34</v>
      </c>
      <c r="D52" s="68">
        <v>864</v>
      </c>
      <c r="E52" s="73" t="s">
        <v>71</v>
      </c>
      <c r="F52" s="105" t="s">
        <v>72</v>
      </c>
      <c r="G52" s="72">
        <v>621</v>
      </c>
      <c r="H52" s="98">
        <v>20000</v>
      </c>
      <c r="I52" s="98">
        <v>10140</v>
      </c>
      <c r="J52" s="98">
        <v>10155.1</v>
      </c>
      <c r="K52" s="60">
        <v>10193.1</v>
      </c>
      <c r="L52" s="99"/>
      <c r="M52" s="99"/>
      <c r="N52" s="75"/>
      <c r="O52" s="60">
        <f t="shared" si="16"/>
        <v>10140</v>
      </c>
      <c r="P52" s="60">
        <v>10801.6</v>
      </c>
      <c r="Q52" s="60">
        <v>10801.6</v>
      </c>
      <c r="R52" s="60">
        <v>10801.6</v>
      </c>
      <c r="S52" s="5" t="s">
        <v>73</v>
      </c>
      <c r="T52" s="100">
        <v>700500</v>
      </c>
      <c r="U52" s="36">
        <v>611</v>
      </c>
      <c r="X52" s="31"/>
    </row>
    <row r="53" spans="1:21" s="78" customFormat="1" ht="20.25" customHeight="1">
      <c r="A53" s="107"/>
      <c r="B53" s="83" t="s">
        <v>74</v>
      </c>
      <c r="C53" s="83" t="s">
        <v>34</v>
      </c>
      <c r="D53" s="68">
        <v>864</v>
      </c>
      <c r="E53" s="73"/>
      <c r="F53" s="108" t="s">
        <v>75</v>
      </c>
      <c r="G53" s="80"/>
      <c r="H53" s="80">
        <f>4833.8+655.2</f>
        <v>5489</v>
      </c>
      <c r="I53" s="98"/>
      <c r="J53" s="98"/>
      <c r="K53" s="98"/>
      <c r="L53" s="99">
        <v>858</v>
      </c>
      <c r="M53" s="99"/>
      <c r="N53" s="99"/>
      <c r="O53" s="60">
        <f t="shared" si="16"/>
        <v>858</v>
      </c>
      <c r="P53" s="60">
        <v>43.1</v>
      </c>
      <c r="Q53" s="60">
        <f>177.4</f>
        <v>177.4</v>
      </c>
      <c r="R53" s="60">
        <f>277.5+0.1</f>
        <v>277.6</v>
      </c>
      <c r="S53" s="5" t="s">
        <v>76</v>
      </c>
      <c r="T53" s="95">
        <v>400000</v>
      </c>
      <c r="U53" s="36">
        <v>621</v>
      </c>
    </row>
    <row r="54" spans="1:22" s="78" customFormat="1" ht="29.25" customHeight="1">
      <c r="A54" s="107"/>
      <c r="B54" s="83"/>
      <c r="C54" s="83"/>
      <c r="D54" s="68">
        <v>864</v>
      </c>
      <c r="E54" s="73" t="s">
        <v>61</v>
      </c>
      <c r="F54" s="108" t="s">
        <v>75</v>
      </c>
      <c r="G54" s="80">
        <v>622</v>
      </c>
      <c r="H54" s="80"/>
      <c r="I54" s="98">
        <v>5200</v>
      </c>
      <c r="J54" s="98">
        <v>5432.9</v>
      </c>
      <c r="K54" s="98">
        <v>0</v>
      </c>
      <c r="L54" s="99"/>
      <c r="M54" s="99"/>
      <c r="N54" s="99"/>
      <c r="O54" s="60">
        <f t="shared" si="16"/>
        <v>5200</v>
      </c>
      <c r="P54" s="60">
        <v>5432.9</v>
      </c>
      <c r="Q54" s="60">
        <f>K54+N54</f>
        <v>0</v>
      </c>
      <c r="R54" s="60">
        <v>0</v>
      </c>
      <c r="S54" s="5" t="s">
        <v>66</v>
      </c>
      <c r="T54" s="109">
        <v>975579</v>
      </c>
      <c r="U54" s="36">
        <v>611</v>
      </c>
      <c r="V54" s="110">
        <f>T54+T59+T61</f>
        <v>1684579</v>
      </c>
    </row>
    <row r="55" spans="1:21" s="14" customFormat="1" ht="46.5" customHeight="1">
      <c r="A55" s="111"/>
      <c r="B55" s="77" t="s">
        <v>77</v>
      </c>
      <c r="C55" s="23" t="s">
        <v>34</v>
      </c>
      <c r="D55" s="68">
        <v>864</v>
      </c>
      <c r="E55" s="73" t="s">
        <v>78</v>
      </c>
      <c r="F55" s="73" t="s">
        <v>79</v>
      </c>
      <c r="G55" s="72">
        <v>521</v>
      </c>
      <c r="H55" s="80"/>
      <c r="I55" s="98"/>
      <c r="J55" s="98"/>
      <c r="K55" s="60"/>
      <c r="L55" s="99">
        <v>16000</v>
      </c>
      <c r="M55" s="99"/>
      <c r="N55" s="75"/>
      <c r="O55" s="60">
        <f t="shared" si="16"/>
        <v>16000</v>
      </c>
      <c r="P55" s="60">
        <v>0</v>
      </c>
      <c r="Q55" s="60">
        <v>0</v>
      </c>
      <c r="R55" s="60">
        <v>0</v>
      </c>
      <c r="S55" s="5" t="s">
        <v>80</v>
      </c>
      <c r="T55" s="112">
        <v>17192900</v>
      </c>
      <c r="U55" s="113">
        <v>611</v>
      </c>
    </row>
    <row r="56" spans="1:21" s="78" customFormat="1" ht="38.25" customHeight="1">
      <c r="A56" s="114"/>
      <c r="B56" s="77" t="s">
        <v>81</v>
      </c>
      <c r="C56" s="23" t="s">
        <v>34</v>
      </c>
      <c r="D56" s="68"/>
      <c r="E56" s="73"/>
      <c r="F56" s="73"/>
      <c r="G56" s="72"/>
      <c r="H56" s="97"/>
      <c r="I56" s="115"/>
      <c r="J56" s="115"/>
      <c r="K56" s="60"/>
      <c r="L56" s="116"/>
      <c r="M56" s="116"/>
      <c r="N56" s="75"/>
      <c r="O56" s="60">
        <f t="shared" si="16"/>
        <v>0</v>
      </c>
      <c r="P56" s="60">
        <v>0</v>
      </c>
      <c r="Q56" s="60">
        <v>0</v>
      </c>
      <c r="R56" s="60">
        <v>0</v>
      </c>
      <c r="S56" s="5"/>
      <c r="T56" s="117">
        <v>7752000</v>
      </c>
      <c r="U56" s="118">
        <v>612</v>
      </c>
    </row>
    <row r="57" spans="1:21" s="78" customFormat="1" ht="39.75" customHeight="1">
      <c r="A57" s="114"/>
      <c r="B57" s="119" t="s">
        <v>82</v>
      </c>
      <c r="C57" s="83" t="s">
        <v>34</v>
      </c>
      <c r="D57" s="68"/>
      <c r="E57" s="73"/>
      <c r="F57" s="73"/>
      <c r="G57" s="72"/>
      <c r="H57" s="97"/>
      <c r="I57" s="115"/>
      <c r="J57" s="115"/>
      <c r="K57" s="60"/>
      <c r="L57" s="116"/>
      <c r="M57" s="116"/>
      <c r="N57" s="75"/>
      <c r="O57" s="60">
        <f t="shared" si="16"/>
        <v>0</v>
      </c>
      <c r="P57" s="60">
        <v>0</v>
      </c>
      <c r="Q57" s="60">
        <v>0</v>
      </c>
      <c r="R57" s="60">
        <v>0</v>
      </c>
      <c r="S57" s="5"/>
      <c r="T57" s="100">
        <v>533344</v>
      </c>
      <c r="U57" s="36">
        <v>611</v>
      </c>
    </row>
    <row r="58" spans="1:22" s="127" customFormat="1" ht="49.5" customHeight="1">
      <c r="A58" s="120"/>
      <c r="B58" s="77" t="s">
        <v>83</v>
      </c>
      <c r="C58" s="23" t="s">
        <v>34</v>
      </c>
      <c r="D58" s="68">
        <v>864</v>
      </c>
      <c r="E58" s="73" t="s">
        <v>78</v>
      </c>
      <c r="F58" s="105" t="s">
        <v>84</v>
      </c>
      <c r="G58" s="72">
        <v>622</v>
      </c>
      <c r="H58" s="121">
        <f>2874.8</f>
        <v>2874.8</v>
      </c>
      <c r="I58" s="122">
        <f>2874.8+270</f>
        <v>3144.8</v>
      </c>
      <c r="J58" s="122">
        <f>2874.8+270</f>
        <v>3144.8</v>
      </c>
      <c r="K58" s="122">
        <f>2874.8+270</f>
        <v>3144.8</v>
      </c>
      <c r="L58" s="123">
        <v>1307.6</v>
      </c>
      <c r="M58" s="123"/>
      <c r="N58" s="123"/>
      <c r="O58" s="60">
        <f t="shared" si="16"/>
        <v>4452.4</v>
      </c>
      <c r="P58" s="60">
        <v>2959.1</v>
      </c>
      <c r="Q58" s="60">
        <v>2959.1</v>
      </c>
      <c r="R58" s="60">
        <v>2959.1</v>
      </c>
      <c r="S58" s="124" t="s">
        <v>85</v>
      </c>
      <c r="T58" s="125">
        <f>1003000+638616.64</f>
        <v>1641616.6400000001</v>
      </c>
      <c r="U58" s="113">
        <v>621</v>
      </c>
      <c r="V58" s="126">
        <f>T58+T46+T53</f>
        <v>731234.6300000001</v>
      </c>
    </row>
    <row r="59" spans="1:21" ht="12.75">
      <c r="A59" s="128"/>
      <c r="B59" s="128"/>
      <c r="C59" s="71"/>
      <c r="D59" s="118"/>
      <c r="E59" s="118"/>
      <c r="F59" s="129"/>
      <c r="G59" s="118"/>
      <c r="H59" s="118"/>
      <c r="I59" s="118"/>
      <c r="J59" s="118"/>
      <c r="K59" s="118"/>
      <c r="L59" s="130"/>
      <c r="M59" s="130"/>
      <c r="N59" s="130"/>
      <c r="O59" s="118"/>
      <c r="P59" s="118"/>
      <c r="Q59" s="118"/>
      <c r="R59" s="118"/>
      <c r="T59" s="131">
        <v>39000</v>
      </c>
      <c r="U59" s="132">
        <v>611</v>
      </c>
    </row>
    <row r="60" spans="1:21" s="14" customFormat="1" ht="48" customHeight="1">
      <c r="A60" s="133" t="s">
        <v>86</v>
      </c>
      <c r="B60" s="134" t="s">
        <v>87</v>
      </c>
      <c r="C60" s="93" t="s">
        <v>14</v>
      </c>
      <c r="D60" s="68"/>
      <c r="E60" s="73"/>
      <c r="F60" s="73"/>
      <c r="G60" s="72"/>
      <c r="H60" s="115">
        <f aca="true" t="shared" si="17" ref="H60:R60">H61</f>
        <v>109516.4</v>
      </c>
      <c r="I60" s="115">
        <f t="shared" si="17"/>
        <v>119759</v>
      </c>
      <c r="J60" s="115">
        <f t="shared" si="17"/>
        <v>120583.09999999999</v>
      </c>
      <c r="K60" s="115">
        <f t="shared" si="17"/>
        <v>121913.8</v>
      </c>
      <c r="L60" s="116">
        <f t="shared" si="17"/>
        <v>11062.818</v>
      </c>
      <c r="M60" s="116">
        <f t="shared" si="17"/>
        <v>-4761.1</v>
      </c>
      <c r="N60" s="116">
        <f t="shared" si="17"/>
        <v>-4761.1</v>
      </c>
      <c r="O60" s="115">
        <f t="shared" si="17"/>
        <v>138906.51799999998</v>
      </c>
      <c r="P60" s="115">
        <f t="shared" si="17"/>
        <v>121443.19999999998</v>
      </c>
      <c r="Q60" s="115">
        <f t="shared" si="17"/>
        <v>122726.07</v>
      </c>
      <c r="R60" s="115">
        <f t="shared" si="17"/>
        <v>123247.09999999999</v>
      </c>
      <c r="S60" s="30"/>
      <c r="T60" s="135">
        <f>1886583.36+7201200</f>
        <v>9087783.36</v>
      </c>
      <c r="U60" s="136">
        <v>611</v>
      </c>
    </row>
    <row r="61" spans="1:21" s="14" customFormat="1" ht="57" customHeight="1">
      <c r="A61" s="36"/>
      <c r="B61" s="118"/>
      <c r="C61" s="93" t="s">
        <v>17</v>
      </c>
      <c r="D61" s="68">
        <v>864</v>
      </c>
      <c r="E61" s="73"/>
      <c r="F61" s="73"/>
      <c r="G61" s="72"/>
      <c r="H61" s="70">
        <f aca="true" t="shared" si="18" ref="H61:R61">SUM(H63:H73)</f>
        <v>109516.4</v>
      </c>
      <c r="I61" s="137">
        <f t="shared" si="18"/>
        <v>119759</v>
      </c>
      <c r="J61" s="137">
        <f t="shared" si="18"/>
        <v>120583.09999999999</v>
      </c>
      <c r="K61" s="137">
        <f t="shared" si="18"/>
        <v>121913.8</v>
      </c>
      <c r="L61" s="138">
        <f t="shared" si="18"/>
        <v>11062.818</v>
      </c>
      <c r="M61" s="138">
        <f t="shared" si="18"/>
        <v>-4761.1</v>
      </c>
      <c r="N61" s="138">
        <f t="shared" si="18"/>
        <v>-4761.1</v>
      </c>
      <c r="O61" s="137">
        <f t="shared" si="18"/>
        <v>138906.51799999998</v>
      </c>
      <c r="P61" s="137">
        <f>SUM(P63:P73)</f>
        <v>121443.19999999998</v>
      </c>
      <c r="Q61" s="137">
        <f t="shared" si="18"/>
        <v>122726.07</v>
      </c>
      <c r="R61" s="137">
        <f t="shared" si="18"/>
        <v>123247.09999999999</v>
      </c>
      <c r="S61" s="5"/>
      <c r="T61" s="131">
        <v>670000</v>
      </c>
      <c r="U61" s="136">
        <v>611</v>
      </c>
    </row>
    <row r="62" spans="1:24" s="14" customFormat="1" ht="24">
      <c r="A62" s="66" t="s">
        <v>30</v>
      </c>
      <c r="B62" s="77"/>
      <c r="C62" s="67"/>
      <c r="D62" s="68">
        <v>864</v>
      </c>
      <c r="E62" s="73"/>
      <c r="F62" s="73"/>
      <c r="G62" s="72"/>
      <c r="H62" s="74"/>
      <c r="I62" s="74"/>
      <c r="J62" s="74"/>
      <c r="K62" s="72"/>
      <c r="L62" s="139"/>
      <c r="M62" s="139"/>
      <c r="N62" s="11"/>
      <c r="O62" s="74"/>
      <c r="P62" s="74"/>
      <c r="Q62" s="72"/>
      <c r="R62" s="72"/>
      <c r="S62" s="5"/>
      <c r="T62" s="140">
        <v>800000</v>
      </c>
      <c r="U62" s="136">
        <v>622</v>
      </c>
      <c r="V62" s="141">
        <f>T62</f>
        <v>800000</v>
      </c>
      <c r="X62" s="31"/>
    </row>
    <row r="63" spans="1:24" s="78" customFormat="1" ht="27.75" customHeight="1">
      <c r="A63" s="142"/>
      <c r="B63" s="23" t="s">
        <v>88</v>
      </c>
      <c r="C63" s="23" t="s">
        <v>34</v>
      </c>
      <c r="D63" s="68">
        <v>864</v>
      </c>
      <c r="E63" s="73" t="s">
        <v>71</v>
      </c>
      <c r="F63" s="108" t="s">
        <v>89</v>
      </c>
      <c r="G63" s="80" t="s">
        <v>90</v>
      </c>
      <c r="H63" s="72">
        <f>74219.8-20000+244.9</f>
        <v>54464.700000000004</v>
      </c>
      <c r="I63" s="72">
        <f>244.9</f>
        <v>244.9</v>
      </c>
      <c r="J63" s="60">
        <f>244.9</f>
        <v>244.9</v>
      </c>
      <c r="K63" s="60">
        <f>244.9</f>
        <v>244.9</v>
      </c>
      <c r="L63" s="11"/>
      <c r="M63" s="75"/>
      <c r="N63" s="75"/>
      <c r="O63" s="60">
        <f aca="true" t="shared" si="19" ref="O63:O72">I63+L63</f>
        <v>244.9</v>
      </c>
      <c r="P63" s="60">
        <v>269.4</v>
      </c>
      <c r="Q63" s="60">
        <v>269.4</v>
      </c>
      <c r="R63" s="60">
        <v>269.4</v>
      </c>
      <c r="S63" s="143" t="s">
        <v>91</v>
      </c>
      <c r="T63" s="117">
        <f>10374800-800000</f>
        <v>9574800</v>
      </c>
      <c r="U63" s="36">
        <v>612</v>
      </c>
      <c r="X63" s="144"/>
    </row>
    <row r="64" spans="1:28" s="78" customFormat="1" ht="27.75" customHeight="1">
      <c r="A64" s="142"/>
      <c r="B64" s="23"/>
      <c r="C64" s="23"/>
      <c r="D64" s="68">
        <v>864</v>
      </c>
      <c r="E64" s="73" t="s">
        <v>71</v>
      </c>
      <c r="F64" s="108" t="s">
        <v>89</v>
      </c>
      <c r="G64" s="80" t="s">
        <v>92</v>
      </c>
      <c r="H64" s="72"/>
      <c r="I64" s="72">
        <v>65796.8</v>
      </c>
      <c r="J64" s="60">
        <v>67674.7</v>
      </c>
      <c r="K64" s="60">
        <v>68611.4</v>
      </c>
      <c r="L64" s="11">
        <v>-181.6</v>
      </c>
      <c r="M64" s="75">
        <v>-4761.1</v>
      </c>
      <c r="N64" s="75">
        <v>-4761.1</v>
      </c>
      <c r="O64" s="60">
        <f>I64+L64+5676.8</f>
        <v>71292</v>
      </c>
      <c r="P64" s="60">
        <v>66315.9</v>
      </c>
      <c r="Q64" s="60">
        <v>67112.57</v>
      </c>
      <c r="R64" s="60">
        <v>68299.7</v>
      </c>
      <c r="S64" s="5" t="s">
        <v>93</v>
      </c>
      <c r="X64" s="144"/>
      <c r="AB64" s="144"/>
    </row>
    <row r="65" spans="1:28" s="78" customFormat="1" ht="27.75" customHeight="1">
      <c r="A65" s="142"/>
      <c r="B65" s="23"/>
      <c r="C65" s="23"/>
      <c r="D65" s="68">
        <v>864</v>
      </c>
      <c r="E65" s="73"/>
      <c r="F65" s="108"/>
      <c r="G65" s="80"/>
      <c r="H65" s="72"/>
      <c r="I65" s="72"/>
      <c r="J65" s="60"/>
      <c r="K65" s="60"/>
      <c r="L65" s="11">
        <f>1265.3+4634.018</f>
        <v>5899.318</v>
      </c>
      <c r="M65" s="75"/>
      <c r="N65" s="75"/>
      <c r="O65" s="60">
        <f t="shared" si="19"/>
        <v>5899.318</v>
      </c>
      <c r="P65" s="145"/>
      <c r="Q65" s="145"/>
      <c r="R65" s="145"/>
      <c r="S65" s="5" t="s">
        <v>94</v>
      </c>
      <c r="T65" s="78">
        <f>-3326212.82+1240864+1734700+169000</f>
        <v>-181648.81999999983</v>
      </c>
      <c r="U65" s="78">
        <f>1265300</f>
        <v>1265300</v>
      </c>
      <c r="X65" s="144"/>
      <c r="AB65" s="146"/>
    </row>
    <row r="66" spans="1:19" s="78" customFormat="1" ht="43.5" customHeight="1">
      <c r="A66" s="76"/>
      <c r="B66" s="77" t="s">
        <v>95</v>
      </c>
      <c r="C66" s="23" t="s">
        <v>34</v>
      </c>
      <c r="D66" s="68">
        <v>864</v>
      </c>
      <c r="E66" s="73" t="s">
        <v>71</v>
      </c>
      <c r="F66" s="108" t="s">
        <v>96</v>
      </c>
      <c r="G66" s="72">
        <v>622</v>
      </c>
      <c r="H66" s="72">
        <v>831.2</v>
      </c>
      <c r="I66" s="72">
        <f>333.5+966.9</f>
        <v>1300.4</v>
      </c>
      <c r="J66" s="72">
        <f>333.5</f>
        <v>333.5</v>
      </c>
      <c r="K66" s="72">
        <f>333.5</f>
        <v>333.5</v>
      </c>
      <c r="L66" s="75">
        <v>4109</v>
      </c>
      <c r="M66" s="11"/>
      <c r="N66" s="11"/>
      <c r="O66" s="60">
        <f>I66+L66+969.8</f>
        <v>6379.2</v>
      </c>
      <c r="P66" s="59">
        <v>350.2</v>
      </c>
      <c r="Q66" s="59">
        <v>350.2</v>
      </c>
      <c r="R66" s="59">
        <v>350.2</v>
      </c>
      <c r="S66" s="5" t="s">
        <v>97</v>
      </c>
    </row>
    <row r="67" spans="1:19" s="14" customFormat="1" ht="47.25" customHeight="1">
      <c r="A67" s="86"/>
      <c r="B67" s="147" t="s">
        <v>98</v>
      </c>
      <c r="C67" s="23" t="s">
        <v>34</v>
      </c>
      <c r="D67" s="68">
        <v>864</v>
      </c>
      <c r="E67" s="73" t="s">
        <v>71</v>
      </c>
      <c r="F67" s="108" t="s">
        <v>99</v>
      </c>
      <c r="G67" s="72">
        <v>630</v>
      </c>
      <c r="H67" s="148">
        <v>32116.3</v>
      </c>
      <c r="I67" s="148">
        <v>32116.3</v>
      </c>
      <c r="J67" s="148">
        <v>32116.3</v>
      </c>
      <c r="K67" s="72">
        <v>32116.3</v>
      </c>
      <c r="L67" s="11"/>
      <c r="M67" s="11"/>
      <c r="N67" s="11"/>
      <c r="O67" s="60">
        <f>I67+L67</f>
        <v>32116.3</v>
      </c>
      <c r="P67" s="59">
        <v>32116.3</v>
      </c>
      <c r="Q67" s="59">
        <v>32116.3</v>
      </c>
      <c r="R67" s="59">
        <v>32116.3</v>
      </c>
      <c r="S67" s="5"/>
    </row>
    <row r="68" spans="1:19" s="14" customFormat="1" ht="46.5" customHeight="1">
      <c r="A68" s="114"/>
      <c r="B68" s="77" t="s">
        <v>100</v>
      </c>
      <c r="C68" s="23" t="s">
        <v>34</v>
      </c>
      <c r="D68" s="68"/>
      <c r="E68" s="73"/>
      <c r="F68" s="108"/>
      <c r="G68" s="72"/>
      <c r="H68" s="148"/>
      <c r="I68" s="148"/>
      <c r="J68" s="148"/>
      <c r="K68" s="149"/>
      <c r="L68" s="11"/>
      <c r="M68" s="11"/>
      <c r="N68" s="150"/>
      <c r="O68" s="60">
        <f t="shared" si="19"/>
        <v>0</v>
      </c>
      <c r="P68" s="59">
        <f>J68+M68</f>
        <v>0</v>
      </c>
      <c r="Q68" s="59">
        <f>K68+N68</f>
        <v>0</v>
      </c>
      <c r="R68" s="59"/>
      <c r="S68" s="5"/>
    </row>
    <row r="69" spans="1:19" s="78" customFormat="1" ht="51.75" customHeight="1">
      <c r="A69" s="151"/>
      <c r="B69" s="147" t="s">
        <v>101</v>
      </c>
      <c r="C69" s="23" t="s">
        <v>34</v>
      </c>
      <c r="D69" s="68">
        <v>864</v>
      </c>
      <c r="E69" s="88" t="s">
        <v>102</v>
      </c>
      <c r="F69" s="105" t="s">
        <v>103</v>
      </c>
      <c r="G69" s="80" t="s">
        <v>104</v>
      </c>
      <c r="H69" s="148">
        <f>2206.1</f>
        <v>2206.1</v>
      </c>
      <c r="I69" s="152">
        <f>2280</f>
        <v>2280</v>
      </c>
      <c r="J69" s="148">
        <v>2098.7</v>
      </c>
      <c r="K69" s="60">
        <v>2400</v>
      </c>
      <c r="L69" s="75">
        <v>1210</v>
      </c>
      <c r="M69" s="11"/>
      <c r="N69" s="75"/>
      <c r="O69" s="60">
        <f t="shared" si="19"/>
        <v>3490</v>
      </c>
      <c r="P69" s="59">
        <v>4201.5</v>
      </c>
      <c r="Q69" s="59">
        <v>4278.1</v>
      </c>
      <c r="R69" s="59">
        <v>3200</v>
      </c>
      <c r="S69" s="5"/>
    </row>
    <row r="70" spans="1:19" s="78" customFormat="1" ht="63.75" customHeight="1">
      <c r="A70" s="151"/>
      <c r="B70" s="147" t="s">
        <v>105</v>
      </c>
      <c r="C70" s="23" t="s">
        <v>34</v>
      </c>
      <c r="D70" s="68">
        <v>864</v>
      </c>
      <c r="E70" s="88" t="s">
        <v>106</v>
      </c>
      <c r="F70" s="105" t="s">
        <v>107</v>
      </c>
      <c r="G70" s="80" t="s">
        <v>104</v>
      </c>
      <c r="H70" s="152">
        <f>5300</f>
        <v>5300</v>
      </c>
      <c r="I70" s="152">
        <f>5300</f>
        <v>5300</v>
      </c>
      <c r="J70" s="152">
        <f>5300</f>
        <v>5300</v>
      </c>
      <c r="K70" s="60">
        <v>5300</v>
      </c>
      <c r="L70" s="75"/>
      <c r="M70" s="75"/>
      <c r="N70" s="75"/>
      <c r="O70" s="60">
        <f t="shared" si="19"/>
        <v>5300</v>
      </c>
      <c r="P70" s="59">
        <v>5300</v>
      </c>
      <c r="Q70" s="59">
        <v>5300</v>
      </c>
      <c r="R70" s="59">
        <v>5300</v>
      </c>
      <c r="S70" s="5"/>
    </row>
    <row r="71" spans="1:24" s="78" customFormat="1" ht="56.25" customHeight="1">
      <c r="A71" s="151"/>
      <c r="B71" s="147" t="s">
        <v>108</v>
      </c>
      <c r="C71" s="23" t="s">
        <v>34</v>
      </c>
      <c r="D71" s="68">
        <v>864</v>
      </c>
      <c r="E71" s="88" t="s">
        <v>109</v>
      </c>
      <c r="F71" s="105" t="s">
        <v>110</v>
      </c>
      <c r="G71" s="80">
        <v>330</v>
      </c>
      <c r="H71" s="152">
        <f>1573</f>
        <v>1573</v>
      </c>
      <c r="I71" s="152">
        <v>1695.5</v>
      </c>
      <c r="J71" s="152">
        <v>1789.9</v>
      </c>
      <c r="K71" s="72">
        <v>1882.6</v>
      </c>
      <c r="L71" s="75"/>
      <c r="M71" s="75"/>
      <c r="N71" s="11"/>
      <c r="O71" s="60">
        <f t="shared" si="19"/>
        <v>1695.5</v>
      </c>
      <c r="P71" s="59">
        <v>1791</v>
      </c>
      <c r="Q71" s="59">
        <v>1897.7</v>
      </c>
      <c r="R71" s="59">
        <v>2001.8</v>
      </c>
      <c r="S71" s="5"/>
      <c r="X71" s="144"/>
    </row>
    <row r="72" spans="1:19" s="78" customFormat="1" ht="26.25" customHeight="1">
      <c r="A72" s="76"/>
      <c r="B72" s="23" t="s">
        <v>111</v>
      </c>
      <c r="C72" s="23" t="s">
        <v>34</v>
      </c>
      <c r="D72" s="68">
        <v>864</v>
      </c>
      <c r="E72" s="73" t="s">
        <v>71</v>
      </c>
      <c r="F72" s="105" t="s">
        <v>112</v>
      </c>
      <c r="G72" s="80">
        <v>612</v>
      </c>
      <c r="H72" s="152"/>
      <c r="I72" s="152">
        <v>1131.5</v>
      </c>
      <c r="J72" s="152">
        <v>1131.5</v>
      </c>
      <c r="K72" s="72">
        <v>1131.5</v>
      </c>
      <c r="L72" s="75"/>
      <c r="M72" s="75"/>
      <c r="N72" s="11"/>
      <c r="O72" s="60">
        <f t="shared" si="19"/>
        <v>1131.5</v>
      </c>
      <c r="P72" s="59">
        <v>1075</v>
      </c>
      <c r="Q72" s="59">
        <v>1075</v>
      </c>
      <c r="R72" s="59">
        <v>1075</v>
      </c>
      <c r="S72" s="5" t="s">
        <v>46</v>
      </c>
    </row>
    <row r="73" spans="1:28" s="14" customFormat="1" ht="27.75" customHeight="1">
      <c r="A73" s="76"/>
      <c r="B73" s="23"/>
      <c r="C73" s="23"/>
      <c r="D73" s="68">
        <v>864</v>
      </c>
      <c r="E73" s="73" t="s">
        <v>71</v>
      </c>
      <c r="F73" s="105" t="s">
        <v>112</v>
      </c>
      <c r="G73" s="80" t="s">
        <v>113</v>
      </c>
      <c r="H73" s="72">
        <f>2000+9893.6+1131.5</f>
        <v>13025.1</v>
      </c>
      <c r="I73" s="72">
        <v>9893.6</v>
      </c>
      <c r="J73" s="72">
        <v>9893.6</v>
      </c>
      <c r="K73" s="72">
        <v>9893.6</v>
      </c>
      <c r="L73" s="11">
        <f>947-920.9</f>
        <v>26.100000000000023</v>
      </c>
      <c r="M73" s="11"/>
      <c r="N73" s="11"/>
      <c r="O73" s="60">
        <f>I73+L73+1438.1</f>
        <v>11357.800000000001</v>
      </c>
      <c r="P73" s="59">
        <v>10023.9</v>
      </c>
      <c r="Q73" s="59">
        <v>10326.8</v>
      </c>
      <c r="R73" s="59">
        <v>10634.7</v>
      </c>
      <c r="S73" s="5" t="s">
        <v>47</v>
      </c>
      <c r="T73" s="14">
        <f>-920900+947000</f>
        <v>26100</v>
      </c>
      <c r="AA73" s="31"/>
      <c r="AB73" s="31"/>
    </row>
    <row r="74" spans="1:19" s="14" customFormat="1" ht="43.5" customHeight="1">
      <c r="A74" s="111" t="s">
        <v>114</v>
      </c>
      <c r="B74" s="153" t="s">
        <v>115</v>
      </c>
      <c r="C74" s="93" t="s">
        <v>14</v>
      </c>
      <c r="D74" s="68"/>
      <c r="E74" s="73"/>
      <c r="F74" s="108"/>
      <c r="G74" s="80"/>
      <c r="H74" s="154">
        <f aca="true" t="shared" si="20" ref="H74:R74">H75</f>
        <v>17086.6</v>
      </c>
      <c r="I74" s="155">
        <f t="shared" si="20"/>
        <v>19050.300000000003</v>
      </c>
      <c r="J74" s="155">
        <f t="shared" si="20"/>
        <v>19546.300000000003</v>
      </c>
      <c r="K74" s="155">
        <f t="shared" si="20"/>
        <v>19620.600000000002</v>
      </c>
      <c r="L74" s="138">
        <f t="shared" si="20"/>
        <v>1820.2900000000002</v>
      </c>
      <c r="M74" s="138">
        <f t="shared" si="20"/>
        <v>0</v>
      </c>
      <c r="N74" s="138">
        <f t="shared" si="20"/>
        <v>0</v>
      </c>
      <c r="O74" s="137">
        <f t="shared" si="20"/>
        <v>19432.5</v>
      </c>
      <c r="P74" s="156">
        <f t="shared" si="20"/>
        <v>19605.2</v>
      </c>
      <c r="Q74" s="156">
        <f t="shared" si="20"/>
        <v>19669.04</v>
      </c>
      <c r="R74" s="156">
        <f t="shared" si="20"/>
        <v>19722</v>
      </c>
      <c r="S74" s="157"/>
    </row>
    <row r="75" spans="1:24" s="14" customFormat="1" ht="55.5" customHeight="1">
      <c r="A75" s="66" t="s">
        <v>30</v>
      </c>
      <c r="B75" s="2"/>
      <c r="C75" s="93" t="s">
        <v>17</v>
      </c>
      <c r="D75" s="68">
        <v>864</v>
      </c>
      <c r="E75" s="73"/>
      <c r="F75" s="108"/>
      <c r="G75" s="72"/>
      <c r="H75" s="70">
        <f aca="true" t="shared" si="21" ref="H75:Q75">SUM(H76:H77)</f>
        <v>17086.6</v>
      </c>
      <c r="I75" s="137">
        <f t="shared" si="21"/>
        <v>19050.300000000003</v>
      </c>
      <c r="J75" s="137">
        <f t="shared" si="21"/>
        <v>19546.300000000003</v>
      </c>
      <c r="K75" s="137">
        <f t="shared" si="21"/>
        <v>19620.600000000002</v>
      </c>
      <c r="L75" s="138">
        <f t="shared" si="21"/>
        <v>1820.2900000000002</v>
      </c>
      <c r="M75" s="138">
        <f t="shared" si="21"/>
        <v>0</v>
      </c>
      <c r="N75" s="138">
        <f t="shared" si="21"/>
        <v>0</v>
      </c>
      <c r="O75" s="137">
        <f t="shared" si="21"/>
        <v>19432.5</v>
      </c>
      <c r="P75" s="137">
        <f t="shared" si="21"/>
        <v>19605.2</v>
      </c>
      <c r="Q75" s="137">
        <f t="shared" si="21"/>
        <v>19669.04</v>
      </c>
      <c r="R75" s="137">
        <f>SUM(R76:R77)</f>
        <v>19722</v>
      </c>
      <c r="S75" s="5"/>
      <c r="W75" s="14">
        <v>18993.7</v>
      </c>
      <c r="X75" s="81">
        <f>O75-W75</f>
        <v>438.7999999999993</v>
      </c>
    </row>
    <row r="76" spans="1:23" s="14" customFormat="1" ht="66" customHeight="1">
      <c r="A76" s="66"/>
      <c r="B76" s="147" t="s">
        <v>116</v>
      </c>
      <c r="C76" s="23" t="s">
        <v>34</v>
      </c>
      <c r="D76" s="68">
        <v>864</v>
      </c>
      <c r="E76" s="158">
        <v>1105</v>
      </c>
      <c r="F76" s="105" t="s">
        <v>117</v>
      </c>
      <c r="G76" s="80" t="s">
        <v>118</v>
      </c>
      <c r="H76" s="148">
        <v>17036.1</v>
      </c>
      <c r="I76" s="148">
        <f>17701.4+1298.5</f>
        <v>18999.9</v>
      </c>
      <c r="J76" s="148">
        <f>18144.5+1351.4</f>
        <v>19495.9</v>
      </c>
      <c r="K76" s="72">
        <f>18218.8+1351.4</f>
        <v>19570.2</v>
      </c>
      <c r="L76" s="75">
        <v>-57.86</v>
      </c>
      <c r="M76" s="11"/>
      <c r="N76" s="11"/>
      <c r="O76" s="60">
        <f>18942-3</f>
        <v>18939</v>
      </c>
      <c r="P76" s="59">
        <v>19554.8</v>
      </c>
      <c r="Q76" s="59">
        <v>19618.64</v>
      </c>
      <c r="R76" s="59">
        <v>19671.6</v>
      </c>
      <c r="S76" s="5"/>
      <c r="W76" s="14" t="s">
        <v>119</v>
      </c>
    </row>
    <row r="77" spans="1:19" s="78" customFormat="1" ht="34.5" customHeight="1">
      <c r="A77" s="86"/>
      <c r="B77" s="147" t="s">
        <v>120</v>
      </c>
      <c r="C77" s="23" t="s">
        <v>34</v>
      </c>
      <c r="D77" s="68">
        <v>864</v>
      </c>
      <c r="E77" s="72" t="s">
        <v>109</v>
      </c>
      <c r="F77" s="94">
        <v>8050102</v>
      </c>
      <c r="G77" s="80" t="s">
        <v>121</v>
      </c>
      <c r="H77" s="148">
        <v>50.5</v>
      </c>
      <c r="I77" s="148">
        <v>50.4</v>
      </c>
      <c r="J77" s="148">
        <v>50.4</v>
      </c>
      <c r="K77" s="72">
        <v>50.4</v>
      </c>
      <c r="L77" s="75">
        <v>1878.15</v>
      </c>
      <c r="M77" s="11"/>
      <c r="N77" s="11"/>
      <c r="O77" s="60">
        <f>1928.6+3-1438.1</f>
        <v>493.5</v>
      </c>
      <c r="P77" s="59">
        <v>50.4</v>
      </c>
      <c r="Q77" s="59">
        <v>50.4</v>
      </c>
      <c r="R77" s="59">
        <v>50.4</v>
      </c>
      <c r="S77" s="5"/>
    </row>
    <row r="78" spans="1:21" s="5" customFormat="1" ht="66.75" customHeight="1">
      <c r="A78" s="159"/>
      <c r="B78" s="77" t="s">
        <v>122</v>
      </c>
      <c r="C78" s="23" t="s">
        <v>34</v>
      </c>
      <c r="D78" s="128"/>
      <c r="E78" s="128"/>
      <c r="F78" s="35"/>
      <c r="G78" s="128"/>
      <c r="H78" s="128"/>
      <c r="I78" s="128"/>
      <c r="J78" s="128"/>
      <c r="K78" s="128"/>
      <c r="L78" s="160"/>
      <c r="M78" s="160"/>
      <c r="N78" s="160"/>
      <c r="O78" s="60">
        <f>I78+L78</f>
        <v>0</v>
      </c>
      <c r="P78" s="59">
        <v>0</v>
      </c>
      <c r="Q78" s="59">
        <v>0</v>
      </c>
      <c r="R78" s="59">
        <v>0</v>
      </c>
      <c r="S78" s="157"/>
      <c r="T78" s="157"/>
      <c r="U78" s="157"/>
    </row>
    <row r="79" spans="1:18" s="5" customFormat="1" ht="23.25" customHeight="1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2">
        <f>L9+104.4</f>
        <v>125049.608</v>
      </c>
      <c r="M79" s="163"/>
      <c r="N79" s="163"/>
      <c r="O79" s="164"/>
      <c r="P79" s="164"/>
      <c r="Q79" s="164"/>
      <c r="R79" s="164"/>
    </row>
    <row r="80" spans="16:18" ht="12.75">
      <c r="P80" s="165"/>
      <c r="Q80" s="165"/>
      <c r="R80" s="165"/>
    </row>
    <row r="81" spans="7:18" ht="12.75" hidden="1">
      <c r="G81" s="2" t="s">
        <v>59</v>
      </c>
      <c r="O81" s="2">
        <v>1120867.8</v>
      </c>
      <c r="P81" s="165">
        <v>432327.9</v>
      </c>
      <c r="Q81" s="165">
        <v>433808.3399999999</v>
      </c>
      <c r="R81" s="165">
        <v>436884.8999999999</v>
      </c>
    </row>
    <row r="82" spans="15:18" ht="12.75" hidden="1">
      <c r="O82" s="165">
        <f>O8-O81</f>
        <v>40893.03099999996</v>
      </c>
      <c r="P82" s="166">
        <f>P9-P81</f>
        <v>0</v>
      </c>
      <c r="Q82" s="166">
        <f>Q9-Q81</f>
        <v>-0.029999999911524355</v>
      </c>
      <c r="R82" s="166">
        <f>R9-R81</f>
        <v>-0.04999999993015081</v>
      </c>
    </row>
    <row r="83" spans="16:18" ht="12.75">
      <c r="P83" s="167"/>
      <c r="Q83" s="167"/>
      <c r="R83" s="167"/>
    </row>
    <row r="84" spans="16:18" ht="12.75">
      <c r="P84" s="166"/>
      <c r="Q84" s="166"/>
      <c r="R84" s="166"/>
    </row>
    <row r="85" spans="16:18" ht="12.75">
      <c r="P85" s="165"/>
      <c r="Q85" s="165"/>
      <c r="R85" s="165"/>
    </row>
    <row r="86" spans="16:20" ht="12.75">
      <c r="P86" s="166"/>
      <c r="Q86" s="166"/>
      <c r="R86" s="166"/>
      <c r="T86" s="2">
        <v>89680781.35081851</v>
      </c>
    </row>
  </sheetData>
  <sheetProtection selectLockedCells="1" selectUnlockedCells="1"/>
  <autoFilter ref="A7:S7"/>
  <mergeCells count="39">
    <mergeCell ref="A3:R3"/>
    <mergeCell ref="A5:A6"/>
    <mergeCell ref="B5:B6"/>
    <mergeCell ref="C5:C6"/>
    <mergeCell ref="D5:G5"/>
    <mergeCell ref="H5:K5"/>
    <mergeCell ref="L5:N5"/>
    <mergeCell ref="O5:R5"/>
    <mergeCell ref="A8:A14"/>
    <mergeCell ref="B8:B14"/>
    <mergeCell ref="A15:A17"/>
    <mergeCell ref="B15:B17"/>
    <mergeCell ref="A23:A24"/>
    <mergeCell ref="B23:B24"/>
    <mergeCell ref="A31:A32"/>
    <mergeCell ref="B31:B32"/>
    <mergeCell ref="C31:C32"/>
    <mergeCell ref="A33:A34"/>
    <mergeCell ref="B33:B34"/>
    <mergeCell ref="C33:C34"/>
    <mergeCell ref="A35:A36"/>
    <mergeCell ref="B35:B36"/>
    <mergeCell ref="A38:A41"/>
    <mergeCell ref="B38:B41"/>
    <mergeCell ref="C38:C39"/>
    <mergeCell ref="T45:U45"/>
    <mergeCell ref="A47:A51"/>
    <mergeCell ref="B47:B51"/>
    <mergeCell ref="C47:C51"/>
    <mergeCell ref="A53:A54"/>
    <mergeCell ref="B53:B54"/>
    <mergeCell ref="C53:C54"/>
    <mergeCell ref="A63:A65"/>
    <mergeCell ref="B63:B65"/>
    <mergeCell ref="C63:C65"/>
    <mergeCell ref="A72:A73"/>
    <mergeCell ref="B72:B73"/>
    <mergeCell ref="C72:C73"/>
    <mergeCell ref="A79:K79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81"/>
  <sheetViews>
    <sheetView tabSelected="1" zoomScale="95" zoomScaleNormal="95" workbookViewId="0" topLeftCell="A68">
      <selection activeCell="B72" sqref="B72"/>
    </sheetView>
  </sheetViews>
  <sheetFormatPr defaultColWidth="9.140625" defaultRowHeight="12.75"/>
  <cols>
    <col min="1" max="1" width="15.00390625" style="1" customWidth="1"/>
    <col min="2" max="2" width="48.00390625" style="1" customWidth="1"/>
    <col min="3" max="3" width="26.7109375" style="2" customWidth="1"/>
    <col min="4" max="5" width="0" style="2" hidden="1" customWidth="1"/>
    <col min="6" max="6" width="0" style="3" hidden="1" customWidth="1"/>
    <col min="7" max="7" width="0" style="2" hidden="1" customWidth="1"/>
    <col min="8" max="8" width="0.2890625" style="2" customWidth="1"/>
    <col min="9" max="11" width="0" style="2" hidden="1" customWidth="1"/>
    <col min="12" max="14" width="0" style="4" hidden="1" customWidth="1"/>
    <col min="15" max="15" width="10.57421875" style="2" customWidth="1"/>
    <col min="16" max="16" width="10.7109375" style="2" customWidth="1"/>
    <col min="17" max="18" width="10.421875" style="2" customWidth="1"/>
    <col min="19" max="19" width="0" style="5" hidden="1" customWidth="1"/>
    <col min="20" max="26" width="0" style="2" hidden="1" customWidth="1"/>
    <col min="27" max="16384" width="9.140625" style="2" customWidth="1"/>
  </cols>
  <sheetData>
    <row r="1" spans="14:18" ht="13.5">
      <c r="N1" s="6"/>
      <c r="Q1" s="7"/>
      <c r="R1" s="8" t="s">
        <v>123</v>
      </c>
    </row>
    <row r="3" spans="1:18" ht="33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ht="9" customHeight="1"/>
    <row r="5" spans="1:19" s="14" customFormat="1" ht="31.5" customHeight="1">
      <c r="A5" s="10" t="s">
        <v>2</v>
      </c>
      <c r="B5" s="10" t="s">
        <v>124</v>
      </c>
      <c r="C5" s="10" t="s">
        <v>4</v>
      </c>
      <c r="D5" s="10" t="s">
        <v>125</v>
      </c>
      <c r="E5" s="10"/>
      <c r="F5" s="10"/>
      <c r="G5" s="10"/>
      <c r="H5" s="10" t="s">
        <v>126</v>
      </c>
      <c r="I5" s="10"/>
      <c r="J5" s="10"/>
      <c r="K5" s="10"/>
      <c r="L5" s="10" t="s">
        <v>127</v>
      </c>
      <c r="M5" s="10"/>
      <c r="N5" s="10"/>
      <c r="O5" s="12" t="s">
        <v>6</v>
      </c>
      <c r="P5" s="12"/>
      <c r="Q5" s="12"/>
      <c r="R5" s="12"/>
      <c r="S5" s="13"/>
    </row>
    <row r="6" spans="1:19" s="14" customFormat="1" ht="79.5" customHeight="1">
      <c r="A6" s="10"/>
      <c r="B6" s="10"/>
      <c r="C6" s="10" t="s">
        <v>128</v>
      </c>
      <c r="D6" s="10" t="s">
        <v>8</v>
      </c>
      <c r="E6" s="10" t="s">
        <v>9</v>
      </c>
      <c r="F6" s="15" t="s">
        <v>10</v>
      </c>
      <c r="G6" s="10" t="s">
        <v>11</v>
      </c>
      <c r="H6" s="10">
        <v>2012</v>
      </c>
      <c r="I6" s="10">
        <v>2013</v>
      </c>
      <c r="J6" s="10">
        <v>2014</v>
      </c>
      <c r="K6" s="10">
        <v>2015</v>
      </c>
      <c r="L6" s="16">
        <v>2013</v>
      </c>
      <c r="M6" s="16">
        <v>2014</v>
      </c>
      <c r="N6" s="16">
        <v>2015</v>
      </c>
      <c r="O6" s="10">
        <v>2013</v>
      </c>
      <c r="P6" s="10">
        <v>2014</v>
      </c>
      <c r="Q6" s="10">
        <v>2015</v>
      </c>
      <c r="R6" s="10">
        <v>2016</v>
      </c>
      <c r="S6" s="17"/>
    </row>
    <row r="7" spans="1:19" s="14" customFormat="1" ht="12">
      <c r="A7" s="10">
        <v>1</v>
      </c>
      <c r="B7" s="10">
        <v>2</v>
      </c>
      <c r="C7" s="18">
        <v>3</v>
      </c>
      <c r="D7" s="18"/>
      <c r="E7" s="18"/>
      <c r="F7" s="19"/>
      <c r="G7" s="18"/>
      <c r="H7" s="18">
        <v>8</v>
      </c>
      <c r="I7" s="18">
        <v>8</v>
      </c>
      <c r="J7" s="18">
        <v>9</v>
      </c>
      <c r="K7" s="18">
        <v>10</v>
      </c>
      <c r="L7" s="20">
        <v>8</v>
      </c>
      <c r="M7" s="20">
        <v>9</v>
      </c>
      <c r="N7" s="20">
        <v>10</v>
      </c>
      <c r="O7" s="18">
        <v>4</v>
      </c>
      <c r="P7" s="18">
        <v>5</v>
      </c>
      <c r="Q7" s="18">
        <v>6</v>
      </c>
      <c r="R7" s="18">
        <v>7</v>
      </c>
      <c r="S7" s="21"/>
    </row>
    <row r="8" spans="1:26" s="14" customFormat="1" ht="18.75" customHeight="1">
      <c r="A8" s="22" t="s">
        <v>12</v>
      </c>
      <c r="B8" s="23" t="s">
        <v>129</v>
      </c>
      <c r="C8" s="93" t="s">
        <v>14</v>
      </c>
      <c r="D8" s="25" t="s">
        <v>15</v>
      </c>
      <c r="E8" s="25" t="s">
        <v>15</v>
      </c>
      <c r="F8" s="26" t="s">
        <v>15</v>
      </c>
      <c r="G8" s="25" t="s">
        <v>15</v>
      </c>
      <c r="H8" s="27">
        <f aca="true" t="shared" si="0" ref="H8:R8">H15+H29+H47+H58+H69</f>
        <v>1102332.1</v>
      </c>
      <c r="I8" s="28">
        <f t="shared" si="0"/>
        <v>413922.89999999997</v>
      </c>
      <c r="J8" s="28">
        <f t="shared" si="0"/>
        <v>329028.69999999995</v>
      </c>
      <c r="K8" s="28">
        <f t="shared" si="0"/>
        <v>328136.39999999997</v>
      </c>
      <c r="L8" s="29">
        <f t="shared" si="0"/>
        <v>558884.29</v>
      </c>
      <c r="M8" s="29">
        <f t="shared" si="0"/>
        <v>69116.2</v>
      </c>
      <c r="N8" s="29">
        <f t="shared" si="0"/>
        <v>184.7</v>
      </c>
      <c r="O8" s="28">
        <f t="shared" si="0"/>
        <v>1161760.918</v>
      </c>
      <c r="P8" s="28">
        <f t="shared" si="0"/>
        <v>631427.06</v>
      </c>
      <c r="Q8" s="28">
        <f t="shared" si="0"/>
        <v>750372.07</v>
      </c>
      <c r="R8" s="28">
        <f t="shared" si="0"/>
        <v>818179.1499999999</v>
      </c>
      <c r="S8" s="30"/>
      <c r="V8" s="31"/>
      <c r="W8" s="31">
        <v>1136638.8</v>
      </c>
      <c r="X8" s="14">
        <v>601327.8999999999</v>
      </c>
      <c r="Y8" s="14">
        <v>533808.2999999999</v>
      </c>
      <c r="Z8" s="14">
        <v>436884.8999999999</v>
      </c>
    </row>
    <row r="9" spans="1:31" s="14" customFormat="1" ht="63" customHeight="1">
      <c r="A9" s="22"/>
      <c r="B9" s="23"/>
      <c r="C9" s="93" t="s">
        <v>130</v>
      </c>
      <c r="D9" s="25">
        <v>864</v>
      </c>
      <c r="E9" s="25" t="s">
        <v>15</v>
      </c>
      <c r="F9" s="26" t="s">
        <v>15</v>
      </c>
      <c r="G9" s="25" t="s">
        <v>15</v>
      </c>
      <c r="H9" s="32">
        <f aca="true" t="shared" si="1" ref="H9:R9">H30+H48+H59+H70+H16</f>
        <v>340332.1</v>
      </c>
      <c r="I9" s="33">
        <f t="shared" si="1"/>
        <v>227922.90000000002</v>
      </c>
      <c r="J9" s="33">
        <f t="shared" si="1"/>
        <v>229028.7</v>
      </c>
      <c r="K9" s="33">
        <f t="shared" si="1"/>
        <v>228136.4</v>
      </c>
      <c r="L9" s="34">
        <f t="shared" si="1"/>
        <v>74198.69</v>
      </c>
      <c r="M9" s="34">
        <f t="shared" si="1"/>
        <v>116.2</v>
      </c>
      <c r="N9" s="34">
        <f t="shared" si="1"/>
        <v>184.7</v>
      </c>
      <c r="O9" s="33">
        <f t="shared" si="1"/>
        <v>529151.318</v>
      </c>
      <c r="P9" s="33">
        <f>P30+P48+P59+P70+P16</f>
        <v>461227.06</v>
      </c>
      <c r="Q9" s="33">
        <f t="shared" si="1"/>
        <v>650372.0700000001</v>
      </c>
      <c r="R9" s="33">
        <f t="shared" si="1"/>
        <v>438279.14999999997</v>
      </c>
      <c r="S9" s="30"/>
      <c r="W9" s="31">
        <f>O8-W8</f>
        <v>25122.118000000017</v>
      </c>
      <c r="Y9" s="35" t="s">
        <v>131</v>
      </c>
      <c r="Z9" s="36">
        <f>528983.4+5788.018</f>
        <v>534771.4180000001</v>
      </c>
      <c r="AA9" s="31"/>
      <c r="AB9" s="31"/>
      <c r="AC9" s="31"/>
      <c r="AD9" s="31"/>
      <c r="AE9" s="31"/>
    </row>
    <row r="10" spans="1:26" s="14" customFormat="1" ht="60.75" customHeight="1">
      <c r="A10" s="22"/>
      <c r="B10" s="23"/>
      <c r="C10" s="42" t="s">
        <v>19</v>
      </c>
      <c r="D10" s="25">
        <v>828</v>
      </c>
      <c r="E10" s="25" t="s">
        <v>15</v>
      </c>
      <c r="F10" s="26" t="s">
        <v>15</v>
      </c>
      <c r="G10" s="25" t="s">
        <v>15</v>
      </c>
      <c r="H10" s="32">
        <f aca="true" t="shared" si="2" ref="H10:R10">H17</f>
        <v>762000</v>
      </c>
      <c r="I10" s="33">
        <f t="shared" si="2"/>
        <v>186000</v>
      </c>
      <c r="J10" s="33">
        <f t="shared" si="2"/>
        <v>100000</v>
      </c>
      <c r="K10" s="33">
        <f t="shared" si="2"/>
        <v>100000</v>
      </c>
      <c r="L10" s="34">
        <f t="shared" si="2"/>
        <v>481203.6</v>
      </c>
      <c r="M10" s="34">
        <f t="shared" si="2"/>
        <v>69000</v>
      </c>
      <c r="N10" s="34">
        <f t="shared" si="2"/>
        <v>0</v>
      </c>
      <c r="O10" s="33">
        <f>O17</f>
        <v>629127.6</v>
      </c>
      <c r="P10" s="33">
        <f t="shared" si="2"/>
        <v>170200</v>
      </c>
      <c r="Q10" s="33">
        <f t="shared" si="2"/>
        <v>100000</v>
      </c>
      <c r="R10" s="33">
        <f t="shared" si="2"/>
        <v>379900</v>
      </c>
      <c r="S10" s="30"/>
      <c r="T10" s="30"/>
      <c r="U10" s="30"/>
      <c r="V10" s="31"/>
      <c r="W10" s="31">
        <f>O9-O16</f>
        <v>492951.31799999997</v>
      </c>
      <c r="X10" s="38"/>
      <c r="Y10" s="35" t="s">
        <v>20</v>
      </c>
      <c r="Z10" s="36">
        <v>5453.98</v>
      </c>
    </row>
    <row r="11" spans="1:26" s="14" customFormat="1" ht="45.75" customHeight="1" hidden="1">
      <c r="A11" s="22"/>
      <c r="B11" s="23"/>
      <c r="C11" s="42" t="s">
        <v>21</v>
      </c>
      <c r="D11" s="25"/>
      <c r="E11" s="25" t="s">
        <v>15</v>
      </c>
      <c r="F11" s="26" t="s">
        <v>15</v>
      </c>
      <c r="G11" s="25" t="s">
        <v>15</v>
      </c>
      <c r="H11" s="32"/>
      <c r="I11" s="33"/>
      <c r="J11" s="33"/>
      <c r="K11" s="33"/>
      <c r="L11" s="34"/>
      <c r="M11" s="34"/>
      <c r="N11" s="34"/>
      <c r="O11" s="33"/>
      <c r="P11" s="33"/>
      <c r="Q11" s="33"/>
      <c r="R11" s="33"/>
      <c r="S11" s="30"/>
      <c r="Y11" s="36"/>
      <c r="Z11" s="36"/>
    </row>
    <row r="12" spans="1:26" s="14" customFormat="1" ht="35.25" customHeight="1">
      <c r="A12" s="22"/>
      <c r="B12" s="23"/>
      <c r="C12" s="42" t="s">
        <v>22</v>
      </c>
      <c r="D12" s="25">
        <v>875</v>
      </c>
      <c r="E12" s="25" t="s">
        <v>15</v>
      </c>
      <c r="F12" s="26" t="s">
        <v>15</v>
      </c>
      <c r="G12" s="25" t="s">
        <v>15</v>
      </c>
      <c r="H12" s="32"/>
      <c r="I12" s="33"/>
      <c r="J12" s="33"/>
      <c r="K12" s="33"/>
      <c r="L12" s="34">
        <f aca="true" t="shared" si="3" ref="L12:R14">L31</f>
        <v>410</v>
      </c>
      <c r="M12" s="34">
        <f t="shared" si="3"/>
        <v>0</v>
      </c>
      <c r="N12" s="34">
        <f t="shared" si="3"/>
        <v>0</v>
      </c>
      <c r="O12" s="33">
        <f>O31</f>
        <v>410</v>
      </c>
      <c r="P12" s="33">
        <f t="shared" si="3"/>
        <v>0</v>
      </c>
      <c r="Q12" s="33">
        <f t="shared" si="3"/>
        <v>0</v>
      </c>
      <c r="R12" s="33">
        <f t="shared" si="3"/>
        <v>0</v>
      </c>
      <c r="S12" s="30"/>
      <c r="Y12" s="35" t="s">
        <v>23</v>
      </c>
      <c r="Z12" s="36">
        <v>166.2</v>
      </c>
    </row>
    <row r="13" spans="1:26" s="14" customFormat="1" ht="33" customHeight="1">
      <c r="A13" s="22"/>
      <c r="B13" s="23"/>
      <c r="C13" s="42" t="s">
        <v>24</v>
      </c>
      <c r="D13" s="25">
        <v>856</v>
      </c>
      <c r="E13" s="25" t="s">
        <v>15</v>
      </c>
      <c r="F13" s="26" t="s">
        <v>15</v>
      </c>
      <c r="G13" s="25" t="s">
        <v>15</v>
      </c>
      <c r="H13" s="32"/>
      <c r="I13" s="33"/>
      <c r="J13" s="33"/>
      <c r="K13" s="33"/>
      <c r="L13" s="34">
        <f t="shared" si="3"/>
        <v>2432</v>
      </c>
      <c r="M13" s="34">
        <f t="shared" si="3"/>
        <v>0</v>
      </c>
      <c r="N13" s="34">
        <f t="shared" si="3"/>
        <v>0</v>
      </c>
      <c r="O13" s="33">
        <f t="shared" si="3"/>
        <v>2432</v>
      </c>
      <c r="P13" s="33">
        <f t="shared" si="3"/>
        <v>0</v>
      </c>
      <c r="Q13" s="33">
        <f t="shared" si="3"/>
        <v>0</v>
      </c>
      <c r="R13" s="33">
        <f t="shared" si="3"/>
        <v>0</v>
      </c>
      <c r="S13" s="30"/>
      <c r="Y13" s="35" t="s">
        <v>25</v>
      </c>
      <c r="Z13" s="39">
        <f>Z9-Z10-Z12</f>
        <v>529151.2380000001</v>
      </c>
    </row>
    <row r="14" spans="1:26" s="14" customFormat="1" ht="46.5" customHeight="1">
      <c r="A14" s="22"/>
      <c r="B14" s="23"/>
      <c r="C14" s="42" t="s">
        <v>26</v>
      </c>
      <c r="D14" s="25">
        <v>831</v>
      </c>
      <c r="E14" s="25" t="s">
        <v>15</v>
      </c>
      <c r="F14" s="26" t="s">
        <v>15</v>
      </c>
      <c r="G14" s="25" t="s">
        <v>15</v>
      </c>
      <c r="H14" s="32"/>
      <c r="I14" s="33"/>
      <c r="J14" s="33"/>
      <c r="K14" s="33"/>
      <c r="L14" s="34">
        <f t="shared" si="3"/>
        <v>640</v>
      </c>
      <c r="M14" s="34">
        <f t="shared" si="3"/>
        <v>0</v>
      </c>
      <c r="N14" s="34">
        <f t="shared" si="3"/>
        <v>0</v>
      </c>
      <c r="O14" s="33">
        <f t="shared" si="3"/>
        <v>640</v>
      </c>
      <c r="P14" s="33">
        <f t="shared" si="3"/>
        <v>0</v>
      </c>
      <c r="Q14" s="33">
        <f t="shared" si="3"/>
        <v>0</v>
      </c>
      <c r="R14" s="33">
        <f t="shared" si="3"/>
        <v>0</v>
      </c>
      <c r="S14" s="30"/>
      <c r="Y14" s="35" t="s">
        <v>27</v>
      </c>
      <c r="Z14" s="39">
        <f>Z13-O9</f>
        <v>-0.07999999984167516</v>
      </c>
    </row>
    <row r="15" spans="1:23" s="48" customFormat="1" ht="26.25" customHeight="1">
      <c r="A15" s="54" t="s">
        <v>28</v>
      </c>
      <c r="B15" s="41" t="s">
        <v>132</v>
      </c>
      <c r="C15" s="42" t="s">
        <v>14</v>
      </c>
      <c r="D15" s="43"/>
      <c r="E15" s="43"/>
      <c r="F15" s="44"/>
      <c r="G15" s="43"/>
      <c r="H15" s="45">
        <f>H16+H17</f>
        <v>780000</v>
      </c>
      <c r="I15" s="46">
        <v>186000</v>
      </c>
      <c r="J15" s="46">
        <f aca="true" t="shared" si="4" ref="J15:R15">J16+J17</f>
        <v>100000</v>
      </c>
      <c r="K15" s="46">
        <f t="shared" si="4"/>
        <v>100000</v>
      </c>
      <c r="L15" s="46">
        <f t="shared" si="4"/>
        <v>491203.6</v>
      </c>
      <c r="M15" s="46">
        <f t="shared" si="4"/>
        <v>69000</v>
      </c>
      <c r="N15" s="46">
        <f t="shared" si="4"/>
        <v>0</v>
      </c>
      <c r="O15" s="33">
        <f t="shared" si="4"/>
        <v>665327.6</v>
      </c>
      <c r="P15" s="33">
        <f t="shared" si="4"/>
        <v>201539</v>
      </c>
      <c r="Q15" s="33">
        <f t="shared" si="4"/>
        <v>315000</v>
      </c>
      <c r="R15" s="33">
        <f t="shared" si="4"/>
        <v>379900</v>
      </c>
      <c r="S15" s="47"/>
      <c r="W15" s="51">
        <f>SUM(O15:R15)</f>
        <v>1561766.6</v>
      </c>
    </row>
    <row r="16" spans="1:24" s="48" customFormat="1" ht="69" customHeight="1">
      <c r="A16" s="54"/>
      <c r="B16" s="41"/>
      <c r="C16" s="49" t="s">
        <v>133</v>
      </c>
      <c r="D16" s="43"/>
      <c r="E16" s="43"/>
      <c r="F16" s="44"/>
      <c r="G16" s="43"/>
      <c r="H16" s="45">
        <v>18000</v>
      </c>
      <c r="I16" s="46">
        <v>0</v>
      </c>
      <c r="J16" s="46">
        <v>0</v>
      </c>
      <c r="K16" s="46">
        <v>0</v>
      </c>
      <c r="L16" s="46">
        <f>L27</f>
        <v>10000</v>
      </c>
      <c r="M16" s="46">
        <f>M27</f>
        <v>0</v>
      </c>
      <c r="N16" s="46">
        <f>N27</f>
        <v>0</v>
      </c>
      <c r="O16" s="33">
        <f>O23+O24+O26+O27+O28</f>
        <v>36200</v>
      </c>
      <c r="P16" s="33">
        <f>P23+P24+P26+P27+P28</f>
        <v>31339</v>
      </c>
      <c r="Q16" s="33">
        <f>Q23+Q24+Q26+Q27+Q28</f>
        <v>215000</v>
      </c>
      <c r="R16" s="33">
        <f>R23+R24+R26+R27+R28</f>
        <v>0</v>
      </c>
      <c r="S16" s="50"/>
      <c r="W16" s="51"/>
      <c r="X16" s="51"/>
    </row>
    <row r="17" spans="1:24" s="48" customFormat="1" ht="54" customHeight="1">
      <c r="A17" s="54"/>
      <c r="B17" s="41"/>
      <c r="C17" s="49" t="s">
        <v>19</v>
      </c>
      <c r="D17" s="43"/>
      <c r="E17" s="43"/>
      <c r="F17" s="44"/>
      <c r="G17" s="43"/>
      <c r="H17" s="45">
        <v>762000</v>
      </c>
      <c r="I17" s="46">
        <v>186000</v>
      </c>
      <c r="J17" s="46">
        <v>100000</v>
      </c>
      <c r="K17" s="46">
        <v>100000</v>
      </c>
      <c r="L17" s="46">
        <f>SUM(L19:L26)</f>
        <v>481203.6</v>
      </c>
      <c r="M17" s="46">
        <f>SUM(M19:M26)</f>
        <v>69000</v>
      </c>
      <c r="N17" s="46">
        <f>SUM(N19:N26)</f>
        <v>0</v>
      </c>
      <c r="O17" s="33">
        <f>O19+O20+O21+O22+O25</f>
        <v>629127.6</v>
      </c>
      <c r="P17" s="33">
        <f>P19+P20+P21+P22+P25</f>
        <v>170200</v>
      </c>
      <c r="Q17" s="33">
        <f>Q19+Q20+Q21+Q22+Q25</f>
        <v>100000</v>
      </c>
      <c r="R17" s="33">
        <f>R19+R20+R21+R22+R25</f>
        <v>379900</v>
      </c>
      <c r="S17" s="50"/>
      <c r="W17" s="48">
        <v>179832.4</v>
      </c>
      <c r="X17" s="51">
        <f>O17+W17</f>
        <v>808960</v>
      </c>
    </row>
    <row r="18" spans="1:24" s="48" customFormat="1" ht="29.25" customHeight="1">
      <c r="A18" s="23" t="s">
        <v>30</v>
      </c>
      <c r="B18" s="168"/>
      <c r="C18" s="49"/>
      <c r="D18" s="43"/>
      <c r="E18" s="43"/>
      <c r="F18" s="44"/>
      <c r="G18" s="43"/>
      <c r="H18" s="45"/>
      <c r="I18" s="46"/>
      <c r="J18" s="46"/>
      <c r="K18" s="46"/>
      <c r="L18" s="46"/>
      <c r="M18" s="46"/>
      <c r="N18" s="46"/>
      <c r="O18" s="33"/>
      <c r="P18" s="33"/>
      <c r="Q18" s="33"/>
      <c r="R18" s="33"/>
      <c r="S18" s="50"/>
      <c r="X18" s="51"/>
    </row>
    <row r="19" spans="1:19" s="48" customFormat="1" ht="57.75" customHeight="1">
      <c r="A19" s="169"/>
      <c r="B19" s="23" t="s">
        <v>134</v>
      </c>
      <c r="C19" s="91" t="s">
        <v>19</v>
      </c>
      <c r="D19" s="72">
        <v>828</v>
      </c>
      <c r="E19" s="80" t="s">
        <v>32</v>
      </c>
      <c r="F19" s="88"/>
      <c r="G19" s="80"/>
      <c r="H19" s="170">
        <f>140000+622000</f>
        <v>762000</v>
      </c>
      <c r="I19" s="60">
        <v>186000</v>
      </c>
      <c r="J19" s="60">
        <v>100000</v>
      </c>
      <c r="K19" s="60">
        <v>100000</v>
      </c>
      <c r="L19" s="60">
        <v>481203.6</v>
      </c>
      <c r="M19" s="60">
        <v>69000</v>
      </c>
      <c r="N19" s="60"/>
      <c r="O19" s="60">
        <f>440040.6-107277.5-80000</f>
        <v>252763.09999999998</v>
      </c>
      <c r="P19" s="60">
        <f>170200-100000-69000</f>
        <v>1200</v>
      </c>
      <c r="Q19" s="60">
        <v>0</v>
      </c>
      <c r="R19" s="60">
        <f>379900-379900</f>
        <v>0</v>
      </c>
      <c r="S19" s="50"/>
    </row>
    <row r="20" spans="1:19" s="48" customFormat="1" ht="52.5" customHeight="1">
      <c r="A20" s="169"/>
      <c r="B20" s="83" t="s">
        <v>135</v>
      </c>
      <c r="C20" s="91" t="s">
        <v>19</v>
      </c>
      <c r="D20" s="72">
        <v>828</v>
      </c>
      <c r="E20" s="80"/>
      <c r="F20" s="88"/>
      <c r="G20" s="80"/>
      <c r="H20" s="170"/>
      <c r="I20" s="60"/>
      <c r="J20" s="60"/>
      <c r="K20" s="60"/>
      <c r="L20" s="60"/>
      <c r="M20" s="60"/>
      <c r="N20" s="60"/>
      <c r="O20" s="60">
        <v>107277.5</v>
      </c>
      <c r="P20" s="60">
        <v>100000</v>
      </c>
      <c r="Q20" s="60">
        <v>100000</v>
      </c>
      <c r="R20" s="60">
        <v>379900</v>
      </c>
      <c r="S20" s="50"/>
    </row>
    <row r="21" spans="1:19" s="48" customFormat="1" ht="66.75" customHeight="1">
      <c r="A21" s="171"/>
      <c r="B21" s="83" t="s">
        <v>136</v>
      </c>
      <c r="C21" s="91" t="s">
        <v>19</v>
      </c>
      <c r="D21" s="72">
        <v>828</v>
      </c>
      <c r="E21" s="80"/>
      <c r="F21" s="88"/>
      <c r="G21" s="80"/>
      <c r="H21" s="170"/>
      <c r="I21" s="60"/>
      <c r="J21" s="60"/>
      <c r="K21" s="60"/>
      <c r="L21" s="60"/>
      <c r="M21" s="60"/>
      <c r="N21" s="60"/>
      <c r="O21" s="60">
        <v>80000</v>
      </c>
      <c r="P21" s="60">
        <v>69000</v>
      </c>
      <c r="Q21" s="60"/>
      <c r="R21" s="60"/>
      <c r="S21" s="50"/>
    </row>
    <row r="22" spans="1:23" s="48" customFormat="1" ht="64.5" customHeight="1">
      <c r="A22" s="171"/>
      <c r="B22" s="172" t="s">
        <v>137</v>
      </c>
      <c r="C22" s="91" t="s">
        <v>19</v>
      </c>
      <c r="D22" s="72"/>
      <c r="E22" s="80"/>
      <c r="F22" s="88"/>
      <c r="G22" s="80"/>
      <c r="H22" s="170"/>
      <c r="I22" s="60"/>
      <c r="J22" s="60"/>
      <c r="K22" s="60"/>
      <c r="L22" s="60"/>
      <c r="M22" s="60"/>
      <c r="N22" s="60"/>
      <c r="O22" s="60">
        <v>189087</v>
      </c>
      <c r="P22" s="60"/>
      <c r="Q22" s="60"/>
      <c r="R22" s="60"/>
      <c r="S22" s="50"/>
      <c r="W22" s="51">
        <f>O19+O22+10000-19263</f>
        <v>432587.1</v>
      </c>
    </row>
    <row r="23" spans="1:23" s="48" customFormat="1" ht="41.25" customHeight="1">
      <c r="A23" s="173"/>
      <c r="B23" s="172"/>
      <c r="C23" s="91" t="s">
        <v>34</v>
      </c>
      <c r="D23" s="72"/>
      <c r="E23" s="80"/>
      <c r="F23" s="88"/>
      <c r="G23" s="80"/>
      <c r="H23" s="170"/>
      <c r="I23" s="60"/>
      <c r="J23" s="60"/>
      <c r="K23" s="60"/>
      <c r="L23" s="60"/>
      <c r="M23" s="60"/>
      <c r="N23" s="60"/>
      <c r="O23" s="60">
        <v>0</v>
      </c>
      <c r="P23" s="60">
        <v>27339</v>
      </c>
      <c r="Q23" s="60">
        <v>215000</v>
      </c>
      <c r="R23" s="60"/>
      <c r="S23" s="50"/>
      <c r="W23" s="51"/>
    </row>
    <row r="24" spans="1:19" s="48" customFormat="1" ht="34.5" customHeight="1" hidden="1">
      <c r="A24" s="173"/>
      <c r="B24" s="23" t="s">
        <v>138</v>
      </c>
      <c r="C24" s="91" t="s">
        <v>139</v>
      </c>
      <c r="D24" s="80"/>
      <c r="E24" s="88"/>
      <c r="F24" s="80"/>
      <c r="G24" s="88"/>
      <c r="H24" s="170">
        <v>18000</v>
      </c>
      <c r="I24" s="60">
        <v>0</v>
      </c>
      <c r="J24" s="60">
        <v>0</v>
      </c>
      <c r="K24" s="60">
        <v>0</v>
      </c>
      <c r="L24" s="60"/>
      <c r="M24" s="60"/>
      <c r="N24" s="60"/>
      <c r="O24" s="60">
        <v>0</v>
      </c>
      <c r="P24" s="60">
        <v>0</v>
      </c>
      <c r="Q24" s="60">
        <v>0</v>
      </c>
      <c r="R24" s="60">
        <v>0</v>
      </c>
      <c r="S24" s="50"/>
    </row>
    <row r="25" spans="1:19" s="48" customFormat="1" ht="36.75" customHeight="1" hidden="1">
      <c r="A25" s="169"/>
      <c r="B25" s="23" t="s">
        <v>140</v>
      </c>
      <c r="C25" s="91" t="s">
        <v>141</v>
      </c>
      <c r="D25" s="72"/>
      <c r="E25" s="72"/>
      <c r="F25" s="73"/>
      <c r="G25" s="72"/>
      <c r="H25" s="170">
        <v>0</v>
      </c>
      <c r="I25" s="60">
        <v>0</v>
      </c>
      <c r="J25" s="60">
        <v>0</v>
      </c>
      <c r="K25" s="60">
        <v>0</v>
      </c>
      <c r="L25" s="60"/>
      <c r="M25" s="60"/>
      <c r="N25" s="60"/>
      <c r="O25" s="60">
        <v>0</v>
      </c>
      <c r="P25" s="60">
        <v>0</v>
      </c>
      <c r="Q25" s="60">
        <v>0</v>
      </c>
      <c r="R25" s="60">
        <v>0</v>
      </c>
      <c r="S25" s="50"/>
    </row>
    <row r="26" spans="1:19" s="48" customFormat="1" ht="42" customHeight="1" hidden="1">
      <c r="A26" s="169"/>
      <c r="B26" s="23" t="s">
        <v>142</v>
      </c>
      <c r="C26" s="91" t="s">
        <v>139</v>
      </c>
      <c r="D26" s="72"/>
      <c r="E26" s="72"/>
      <c r="F26" s="73"/>
      <c r="G26" s="72"/>
      <c r="H26" s="170">
        <v>0</v>
      </c>
      <c r="I26" s="60">
        <v>0</v>
      </c>
      <c r="J26" s="60">
        <v>0</v>
      </c>
      <c r="K26" s="60">
        <v>0</v>
      </c>
      <c r="L26" s="60"/>
      <c r="M26" s="60"/>
      <c r="N26" s="60"/>
      <c r="O26" s="60">
        <v>0</v>
      </c>
      <c r="P26" s="60">
        <v>0</v>
      </c>
      <c r="Q26" s="60">
        <v>0</v>
      </c>
      <c r="R26" s="60">
        <v>0</v>
      </c>
      <c r="S26" s="30"/>
    </row>
    <row r="27" spans="1:19" s="48" customFormat="1" ht="51" customHeight="1">
      <c r="A27" s="169"/>
      <c r="B27" s="23" t="s">
        <v>143</v>
      </c>
      <c r="C27" s="91" t="s">
        <v>34</v>
      </c>
      <c r="D27" s="72">
        <v>864</v>
      </c>
      <c r="E27" s="72">
        <v>1101</v>
      </c>
      <c r="F27" s="73" t="s">
        <v>38</v>
      </c>
      <c r="G27" s="72">
        <v>244</v>
      </c>
      <c r="H27" s="170">
        <v>0</v>
      </c>
      <c r="I27" s="60">
        <v>0</v>
      </c>
      <c r="J27" s="60">
        <v>0</v>
      </c>
      <c r="K27" s="60">
        <v>0</v>
      </c>
      <c r="L27" s="60">
        <v>10000</v>
      </c>
      <c r="M27" s="60"/>
      <c r="N27" s="60"/>
      <c r="O27" s="60">
        <f>10000+26200</f>
        <v>36200</v>
      </c>
      <c r="P27" s="60">
        <v>0</v>
      </c>
      <c r="Q27" s="60">
        <v>0</v>
      </c>
      <c r="R27" s="60">
        <v>0</v>
      </c>
      <c r="S27" s="5"/>
    </row>
    <row r="28" spans="1:19" s="48" customFormat="1" ht="45" customHeight="1">
      <c r="A28" s="169"/>
      <c r="B28" s="23" t="s">
        <v>144</v>
      </c>
      <c r="C28" s="91" t="s">
        <v>34</v>
      </c>
      <c r="D28" s="72">
        <v>864</v>
      </c>
      <c r="E28" s="72"/>
      <c r="F28" s="73"/>
      <c r="G28" s="72"/>
      <c r="H28" s="170"/>
      <c r="I28" s="60"/>
      <c r="J28" s="60"/>
      <c r="K28" s="60"/>
      <c r="L28" s="60"/>
      <c r="M28" s="60"/>
      <c r="N28" s="60"/>
      <c r="O28" s="60">
        <v>0</v>
      </c>
      <c r="P28" s="60">
        <v>4000</v>
      </c>
      <c r="Q28" s="60">
        <v>0</v>
      </c>
      <c r="R28" s="60">
        <v>0</v>
      </c>
      <c r="S28" s="5"/>
    </row>
    <row r="29" spans="1:19" s="14" customFormat="1" ht="20.25" customHeight="1">
      <c r="A29" s="54" t="s">
        <v>39</v>
      </c>
      <c r="B29" s="63" t="s">
        <v>40</v>
      </c>
      <c r="C29" s="64" t="s">
        <v>14</v>
      </c>
      <c r="D29" s="43"/>
      <c r="E29" s="43" t="s">
        <v>15</v>
      </c>
      <c r="F29" s="44" t="s">
        <v>15</v>
      </c>
      <c r="G29" s="43" t="s">
        <v>15</v>
      </c>
      <c r="H29" s="65">
        <f>SUM(H30:H30)</f>
        <v>5159.799999999999</v>
      </c>
      <c r="I29" s="46">
        <f>SUM(I30:I30)</f>
        <v>3834.999999999999</v>
      </c>
      <c r="J29" s="46">
        <f>SUM(J30:J30)</f>
        <v>3864.999999999999</v>
      </c>
      <c r="K29" s="46">
        <f>SUM(K30:K30)</f>
        <v>3872.499999999999</v>
      </c>
      <c r="L29" s="46">
        <f aca="true" t="shared" si="5" ref="L29:R29">SUM(L30:L33)</f>
        <v>14133</v>
      </c>
      <c r="M29" s="46">
        <f t="shared" si="5"/>
        <v>0</v>
      </c>
      <c r="N29" s="46">
        <f t="shared" si="5"/>
        <v>0</v>
      </c>
      <c r="O29" s="33">
        <f t="shared" si="5"/>
        <v>42806.59999999999</v>
      </c>
      <c r="P29" s="46">
        <f t="shared" si="5"/>
        <v>11948.3</v>
      </c>
      <c r="Q29" s="46">
        <f t="shared" si="5"/>
        <v>12275.9</v>
      </c>
      <c r="R29" s="46">
        <f t="shared" si="5"/>
        <v>12303.95</v>
      </c>
      <c r="S29" s="5"/>
    </row>
    <row r="30" spans="1:19" s="14" customFormat="1" ht="62.25" customHeight="1">
      <c r="A30" s="54"/>
      <c r="B30" s="63"/>
      <c r="C30" s="49" t="s">
        <v>133</v>
      </c>
      <c r="D30" s="43"/>
      <c r="E30" s="43" t="s">
        <v>15</v>
      </c>
      <c r="F30" s="44" t="s">
        <v>15</v>
      </c>
      <c r="G30" s="43" t="s">
        <v>15</v>
      </c>
      <c r="H30" s="65">
        <f>SUM(H35:H46)</f>
        <v>5159.799999999999</v>
      </c>
      <c r="I30" s="46">
        <f>SUM(I35:I46)</f>
        <v>3834.999999999999</v>
      </c>
      <c r="J30" s="46">
        <f>SUM(J35:J46)</f>
        <v>3864.999999999999</v>
      </c>
      <c r="K30" s="46">
        <f>SUM(K35:K46)</f>
        <v>3872.499999999999</v>
      </c>
      <c r="L30" s="46">
        <f aca="true" t="shared" si="6" ref="L30:R30">SUM(L35:L39,L41:L42,L45:L46)</f>
        <v>10651</v>
      </c>
      <c r="M30" s="46">
        <f t="shared" si="6"/>
        <v>0</v>
      </c>
      <c r="N30" s="46">
        <f t="shared" si="6"/>
        <v>0</v>
      </c>
      <c r="O30" s="33">
        <f t="shared" si="6"/>
        <v>39324.59999999999</v>
      </c>
      <c r="P30" s="46">
        <f t="shared" si="6"/>
        <v>11948.3</v>
      </c>
      <c r="Q30" s="46">
        <f t="shared" si="6"/>
        <v>12275.9</v>
      </c>
      <c r="R30" s="46">
        <f t="shared" si="6"/>
        <v>12303.95</v>
      </c>
      <c r="S30" s="5"/>
    </row>
    <row r="31" spans="1:19" s="14" customFormat="1" ht="36" customHeight="1">
      <c r="A31" s="23"/>
      <c r="B31" s="67"/>
      <c r="C31" s="49" t="s">
        <v>22</v>
      </c>
      <c r="D31" s="68"/>
      <c r="E31" s="68" t="s">
        <v>15</v>
      </c>
      <c r="F31" s="69" t="s">
        <v>15</v>
      </c>
      <c r="G31" s="68" t="s">
        <v>15</v>
      </c>
      <c r="H31" s="70"/>
      <c r="I31" s="33"/>
      <c r="J31" s="33"/>
      <c r="K31" s="33"/>
      <c r="L31" s="34">
        <f aca="true" t="shared" si="7" ref="L31:Q31">L44</f>
        <v>410</v>
      </c>
      <c r="M31" s="34">
        <f t="shared" si="7"/>
        <v>0</v>
      </c>
      <c r="N31" s="34">
        <f t="shared" si="7"/>
        <v>0</v>
      </c>
      <c r="O31" s="33">
        <f t="shared" si="7"/>
        <v>410</v>
      </c>
      <c r="P31" s="33">
        <f t="shared" si="7"/>
        <v>0</v>
      </c>
      <c r="Q31" s="33">
        <f t="shared" si="7"/>
        <v>0</v>
      </c>
      <c r="R31" s="33">
        <f>R44</f>
        <v>0</v>
      </c>
      <c r="S31" s="5"/>
    </row>
    <row r="32" spans="1:19" s="14" customFormat="1" ht="36" customHeight="1">
      <c r="A32" s="23"/>
      <c r="B32" s="67"/>
      <c r="C32" s="49" t="s">
        <v>24</v>
      </c>
      <c r="D32" s="68"/>
      <c r="E32" s="68" t="s">
        <v>15</v>
      </c>
      <c r="F32" s="69" t="s">
        <v>15</v>
      </c>
      <c r="G32" s="68" t="s">
        <v>15</v>
      </c>
      <c r="H32" s="70"/>
      <c r="I32" s="33"/>
      <c r="J32" s="33"/>
      <c r="K32" s="33"/>
      <c r="L32" s="34">
        <f aca="true" t="shared" si="8" ref="L32:Q32">L43</f>
        <v>2432</v>
      </c>
      <c r="M32" s="34">
        <f t="shared" si="8"/>
        <v>0</v>
      </c>
      <c r="N32" s="34">
        <f t="shared" si="8"/>
        <v>0</v>
      </c>
      <c r="O32" s="33">
        <f t="shared" si="8"/>
        <v>2432</v>
      </c>
      <c r="P32" s="33">
        <f t="shared" si="8"/>
        <v>0</v>
      </c>
      <c r="Q32" s="33">
        <f t="shared" si="8"/>
        <v>0</v>
      </c>
      <c r="R32" s="33">
        <f>R43</f>
        <v>0</v>
      </c>
      <c r="S32" s="5"/>
    </row>
    <row r="33" spans="1:19" s="14" customFormat="1" ht="40.5" customHeight="1">
      <c r="A33" s="23"/>
      <c r="B33" s="67"/>
      <c r="C33" s="49" t="s">
        <v>26</v>
      </c>
      <c r="D33" s="68"/>
      <c r="E33" s="68" t="s">
        <v>15</v>
      </c>
      <c r="F33" s="69" t="s">
        <v>15</v>
      </c>
      <c r="G33" s="68" t="s">
        <v>15</v>
      </c>
      <c r="H33" s="70"/>
      <c r="I33" s="33"/>
      <c r="J33" s="33"/>
      <c r="K33" s="33"/>
      <c r="L33" s="34">
        <f aca="true" t="shared" si="9" ref="L33:Q33">L40</f>
        <v>640</v>
      </c>
      <c r="M33" s="34">
        <f t="shared" si="9"/>
        <v>0</v>
      </c>
      <c r="N33" s="34">
        <f t="shared" si="9"/>
        <v>0</v>
      </c>
      <c r="O33" s="33">
        <f t="shared" si="9"/>
        <v>640</v>
      </c>
      <c r="P33" s="33">
        <f t="shared" si="9"/>
        <v>0</v>
      </c>
      <c r="Q33" s="33">
        <f t="shared" si="9"/>
        <v>0</v>
      </c>
      <c r="R33" s="33">
        <f>R40</f>
        <v>0</v>
      </c>
      <c r="S33" s="5"/>
    </row>
    <row r="34" spans="1:19" s="14" customFormat="1" ht="30" customHeight="1">
      <c r="A34" s="23" t="s">
        <v>30</v>
      </c>
      <c r="B34" s="23"/>
      <c r="C34" s="71"/>
      <c r="D34" s="72"/>
      <c r="E34" s="72"/>
      <c r="F34" s="73"/>
      <c r="G34" s="72"/>
      <c r="H34" s="74"/>
      <c r="I34" s="60"/>
      <c r="J34" s="60"/>
      <c r="K34" s="60"/>
      <c r="L34" s="75"/>
      <c r="M34" s="75"/>
      <c r="N34" s="75"/>
      <c r="O34" s="60"/>
      <c r="P34" s="60"/>
      <c r="Q34" s="60"/>
      <c r="R34" s="60"/>
      <c r="S34" s="5"/>
    </row>
    <row r="35" spans="1:19" s="78" customFormat="1" ht="51" customHeight="1" hidden="1">
      <c r="A35" s="174"/>
      <c r="B35" s="77" t="s">
        <v>145</v>
      </c>
      <c r="C35" s="23" t="s">
        <v>139</v>
      </c>
      <c r="D35" s="68">
        <v>864</v>
      </c>
      <c r="E35" s="72" t="s">
        <v>15</v>
      </c>
      <c r="F35" s="73" t="s">
        <v>15</v>
      </c>
      <c r="G35" s="72" t="s">
        <v>15</v>
      </c>
      <c r="H35" s="74">
        <v>0</v>
      </c>
      <c r="I35" s="60">
        <v>0</v>
      </c>
      <c r="J35" s="60">
        <v>0</v>
      </c>
      <c r="K35" s="60">
        <v>0</v>
      </c>
      <c r="L35" s="75"/>
      <c r="M35" s="75"/>
      <c r="N35" s="75"/>
      <c r="O35" s="60">
        <f aca="true" t="shared" si="10" ref="O35:R41">I35+L35</f>
        <v>0</v>
      </c>
      <c r="P35" s="59">
        <f t="shared" si="10"/>
        <v>0</v>
      </c>
      <c r="Q35" s="59">
        <f t="shared" si="10"/>
        <v>0</v>
      </c>
      <c r="R35" s="59">
        <f t="shared" si="10"/>
        <v>0</v>
      </c>
      <c r="S35" s="5"/>
    </row>
    <row r="36" spans="1:19" s="78" customFormat="1" ht="29.25" customHeight="1" hidden="1">
      <c r="A36" s="174"/>
      <c r="B36" s="79" t="s">
        <v>146</v>
      </c>
      <c r="C36" s="23" t="s">
        <v>139</v>
      </c>
      <c r="D36" s="68"/>
      <c r="E36" s="68"/>
      <c r="F36" s="69"/>
      <c r="G36" s="68"/>
      <c r="H36" s="70"/>
      <c r="I36" s="33"/>
      <c r="J36" s="33"/>
      <c r="K36" s="60"/>
      <c r="L36" s="34"/>
      <c r="M36" s="34"/>
      <c r="N36" s="75"/>
      <c r="O36" s="60">
        <f t="shared" si="10"/>
        <v>0</v>
      </c>
      <c r="P36" s="59">
        <f t="shared" si="10"/>
        <v>0</v>
      </c>
      <c r="Q36" s="59">
        <f t="shared" si="10"/>
        <v>0</v>
      </c>
      <c r="R36" s="59">
        <f t="shared" si="10"/>
        <v>0</v>
      </c>
      <c r="S36" s="5"/>
    </row>
    <row r="37" spans="1:19" s="78" customFormat="1" ht="41.25" customHeight="1">
      <c r="A37" s="175"/>
      <c r="B37" s="83" t="s">
        <v>147</v>
      </c>
      <c r="C37" s="83" t="s">
        <v>34</v>
      </c>
      <c r="D37" s="68">
        <v>864</v>
      </c>
      <c r="E37" s="73" t="s">
        <v>44</v>
      </c>
      <c r="F37" s="73" t="s">
        <v>45</v>
      </c>
      <c r="G37" s="80">
        <v>611</v>
      </c>
      <c r="H37" s="72">
        <v>3006.6</v>
      </c>
      <c r="I37" s="60">
        <f>22638.6-19756.3+480-244.9</f>
        <v>3117.399999999999</v>
      </c>
      <c r="J37" s="60">
        <f>23138-19745.7-244.9</f>
        <v>3147.399999999999</v>
      </c>
      <c r="K37" s="60">
        <f>23663.5-20263.7-244.9</f>
        <v>3154.899999999999</v>
      </c>
      <c r="L37" s="75"/>
      <c r="M37" s="75"/>
      <c r="N37" s="75"/>
      <c r="O37" s="60">
        <f>'таблица 5 (рес.обесп)  (2)'!O31+'таблица 5 (рес.обесп)  (2)'!O32+0.1</f>
        <v>7518.299999999999</v>
      </c>
      <c r="P37" s="60">
        <f>'таблица 5 (рес.обесп)  (2)'!P31+'таблица 5 (рес.обесп)  (2)'!P32</f>
        <v>10223.9</v>
      </c>
      <c r="Q37" s="60">
        <f>'таблица 5 (рес.обесп)  (2)'!Q31+'таблица 5 (рес.обесп)  (2)'!Q32-0.1</f>
        <v>10551.4</v>
      </c>
      <c r="R37" s="60">
        <f>'таблица 5 (рес.обесп)  (2)'!R31+'таблица 5 (рес.обесп)  (2)'!R32</f>
        <v>10579.45</v>
      </c>
      <c r="S37" s="5" t="s">
        <v>148</v>
      </c>
    </row>
    <row r="38" spans="1:20" s="78" customFormat="1" ht="43.5" customHeight="1">
      <c r="A38" s="171"/>
      <c r="B38" s="83" t="s">
        <v>149</v>
      </c>
      <c r="C38" s="83" t="s">
        <v>34</v>
      </c>
      <c r="D38" s="68">
        <v>864</v>
      </c>
      <c r="E38" s="73"/>
      <c r="F38" s="73"/>
      <c r="G38" s="80"/>
      <c r="H38" s="60">
        <v>38</v>
      </c>
      <c r="I38" s="60">
        <v>45</v>
      </c>
      <c r="J38" s="60">
        <v>45</v>
      </c>
      <c r="K38" s="60">
        <v>45</v>
      </c>
      <c r="L38" s="75">
        <f>1000+1401</f>
        <v>2401</v>
      </c>
      <c r="M38" s="75">
        <v>0</v>
      </c>
      <c r="N38" s="75">
        <v>0</v>
      </c>
      <c r="O38" s="60">
        <f>'таблица 5 (рес.обесп)  (2)'!O33+'таблица 5 (рес.обесп)  (2)'!O34</f>
        <v>6046</v>
      </c>
      <c r="P38" s="60">
        <f>'таблица 5 (рес.обесп)  (2)'!P33+'таблица 5 (рес.обесп)  (2)'!P34</f>
        <v>0</v>
      </c>
      <c r="Q38" s="60">
        <f>'таблица 5 (рес.обесп)  (2)'!Q33+'таблица 5 (рес.обесп)  (2)'!Q34</f>
        <v>0</v>
      </c>
      <c r="R38" s="60">
        <f>'таблица 5 (рес.обесп)  (2)'!R33+'таблица 5 (рес.обесп)  (2)'!R34</f>
        <v>0</v>
      </c>
      <c r="S38" s="5" t="s">
        <v>50</v>
      </c>
      <c r="T38" s="81">
        <f>1000000+1401000</f>
        <v>2401000</v>
      </c>
    </row>
    <row r="39" spans="1:20" s="14" customFormat="1" ht="44.25" customHeight="1">
      <c r="A39" s="171"/>
      <c r="B39" s="176" t="s">
        <v>150</v>
      </c>
      <c r="C39" s="83" t="s">
        <v>34</v>
      </c>
      <c r="D39" s="68">
        <v>864</v>
      </c>
      <c r="E39" s="73"/>
      <c r="F39" s="73"/>
      <c r="G39" s="80"/>
      <c r="H39" s="74"/>
      <c r="I39" s="60"/>
      <c r="J39" s="60"/>
      <c r="K39" s="60"/>
      <c r="L39" s="75">
        <v>8250</v>
      </c>
      <c r="M39" s="75">
        <v>0</v>
      </c>
      <c r="N39" s="75">
        <v>0</v>
      </c>
      <c r="O39" s="60">
        <f t="shared" si="10"/>
        <v>8250</v>
      </c>
      <c r="P39" s="59">
        <f t="shared" si="10"/>
        <v>0</v>
      </c>
      <c r="Q39" s="59">
        <f t="shared" si="10"/>
        <v>0</v>
      </c>
      <c r="R39" s="59">
        <v>0</v>
      </c>
      <c r="S39" s="5" t="s">
        <v>47</v>
      </c>
      <c r="T39" s="81"/>
    </row>
    <row r="40" spans="1:20" s="14" customFormat="1" ht="39" customHeight="1">
      <c r="A40" s="177"/>
      <c r="B40" s="176"/>
      <c r="C40" s="23" t="s">
        <v>26</v>
      </c>
      <c r="D40" s="68">
        <v>831</v>
      </c>
      <c r="E40" s="73"/>
      <c r="F40" s="73"/>
      <c r="G40" s="80"/>
      <c r="H40" s="74"/>
      <c r="I40" s="60"/>
      <c r="J40" s="60"/>
      <c r="K40" s="60"/>
      <c r="L40" s="75">
        <v>640</v>
      </c>
      <c r="M40" s="75"/>
      <c r="N40" s="75"/>
      <c r="O40" s="60">
        <f t="shared" si="10"/>
        <v>640</v>
      </c>
      <c r="P40" s="59">
        <f t="shared" si="10"/>
        <v>0</v>
      </c>
      <c r="Q40" s="59">
        <f t="shared" si="10"/>
        <v>0</v>
      </c>
      <c r="R40" s="59">
        <v>0</v>
      </c>
      <c r="S40" s="5" t="s">
        <v>151</v>
      </c>
      <c r="T40" s="81"/>
    </row>
    <row r="41" spans="1:20" s="14" customFormat="1" ht="69.75" customHeight="1" hidden="1">
      <c r="A41" s="178"/>
      <c r="B41" s="85" t="s">
        <v>152</v>
      </c>
      <c r="C41" s="23" t="s">
        <v>139</v>
      </c>
      <c r="D41" s="68"/>
      <c r="E41" s="73"/>
      <c r="F41" s="73"/>
      <c r="G41" s="80"/>
      <c r="H41" s="74"/>
      <c r="I41" s="60"/>
      <c r="J41" s="60"/>
      <c r="K41" s="60"/>
      <c r="L41" s="75"/>
      <c r="M41" s="75"/>
      <c r="N41" s="75"/>
      <c r="O41" s="60">
        <f t="shared" si="10"/>
        <v>0</v>
      </c>
      <c r="P41" s="59">
        <f t="shared" si="10"/>
        <v>0</v>
      </c>
      <c r="Q41" s="59">
        <f t="shared" si="10"/>
        <v>0</v>
      </c>
      <c r="R41" s="59">
        <v>0</v>
      </c>
      <c r="S41" s="5"/>
      <c r="T41" s="81"/>
    </row>
    <row r="42" spans="1:24" s="78" customFormat="1" ht="45.75" customHeight="1">
      <c r="A42" s="171"/>
      <c r="B42" s="179" t="s">
        <v>153</v>
      </c>
      <c r="C42" s="23" t="s">
        <v>34</v>
      </c>
      <c r="D42" s="68">
        <v>864</v>
      </c>
      <c r="E42" s="88" t="s">
        <v>44</v>
      </c>
      <c r="F42" s="88" t="s">
        <v>53</v>
      </c>
      <c r="G42" s="88" t="s">
        <v>54</v>
      </c>
      <c r="H42" s="72">
        <f>2115.2</f>
        <v>2115.2</v>
      </c>
      <c r="I42" s="60">
        <v>672.6</v>
      </c>
      <c r="J42" s="60">
        <v>672.6</v>
      </c>
      <c r="K42" s="60">
        <v>672.6</v>
      </c>
      <c r="L42" s="75"/>
      <c r="M42" s="75"/>
      <c r="N42" s="75"/>
      <c r="O42" s="60">
        <f>'таблица 5 (рес.обесп)  (2)'!O38+'таблица 5 (рес.обесп)  (2)'!O39</f>
        <v>17510.299999999996</v>
      </c>
      <c r="P42" s="60">
        <f>'таблица 5 (рес.обесп)  (2)'!P38+'таблица 5 (рес.обесп)  (2)'!P39</f>
        <v>1724.4</v>
      </c>
      <c r="Q42" s="60">
        <f>'таблица 5 (рес.обесп)  (2)'!Q38+'таблица 5 (рес.обесп)  (2)'!Q39</f>
        <v>1724.5</v>
      </c>
      <c r="R42" s="60">
        <f>'таблица 5 (рес.обесп)  (2)'!R38+'таблица 5 (рес.обесп)  (2)'!R39</f>
        <v>1724.5</v>
      </c>
      <c r="S42" s="30" t="s">
        <v>148</v>
      </c>
      <c r="T42" s="81"/>
      <c r="X42" s="90"/>
    </row>
    <row r="43" spans="1:19" s="78" customFormat="1" ht="25.5" customHeight="1">
      <c r="A43" s="180"/>
      <c r="B43" s="179"/>
      <c r="C43" s="23" t="s">
        <v>24</v>
      </c>
      <c r="D43" s="68">
        <v>856</v>
      </c>
      <c r="E43" s="88"/>
      <c r="F43" s="88"/>
      <c r="G43" s="80"/>
      <c r="H43" s="72"/>
      <c r="I43" s="60"/>
      <c r="J43" s="60"/>
      <c r="K43" s="60"/>
      <c r="L43" s="75">
        <v>2432</v>
      </c>
      <c r="M43" s="75"/>
      <c r="N43" s="75"/>
      <c r="O43" s="60">
        <f aca="true" t="shared" si="11" ref="O43:Q46">I43+L43</f>
        <v>2432</v>
      </c>
      <c r="P43" s="59">
        <f t="shared" si="11"/>
        <v>0</v>
      </c>
      <c r="Q43" s="59">
        <f t="shared" si="11"/>
        <v>0</v>
      </c>
      <c r="R43" s="59">
        <v>0</v>
      </c>
      <c r="S43" s="5"/>
    </row>
    <row r="44" spans="1:19" s="78" customFormat="1" ht="25.5" customHeight="1">
      <c r="A44" s="181"/>
      <c r="B44" s="179"/>
      <c r="C44" s="23" t="s">
        <v>22</v>
      </c>
      <c r="D44" s="68">
        <v>875</v>
      </c>
      <c r="E44" s="88"/>
      <c r="F44" s="88"/>
      <c r="G44" s="80"/>
      <c r="H44" s="72"/>
      <c r="I44" s="60"/>
      <c r="J44" s="60"/>
      <c r="K44" s="60"/>
      <c r="L44" s="75">
        <v>410</v>
      </c>
      <c r="M44" s="75"/>
      <c r="N44" s="75"/>
      <c r="O44" s="60">
        <f t="shared" si="11"/>
        <v>410</v>
      </c>
      <c r="P44" s="59">
        <f t="shared" si="11"/>
        <v>0</v>
      </c>
      <c r="Q44" s="59">
        <f t="shared" si="11"/>
        <v>0</v>
      </c>
      <c r="R44" s="59">
        <v>0</v>
      </c>
      <c r="S44" s="5"/>
    </row>
    <row r="45" spans="1:19" s="14" customFormat="1" ht="40.5" customHeight="1" hidden="1">
      <c r="A45" s="114"/>
      <c r="B45" s="77" t="s">
        <v>154</v>
      </c>
      <c r="C45" s="23" t="s">
        <v>139</v>
      </c>
      <c r="D45" s="68"/>
      <c r="E45" s="73"/>
      <c r="F45" s="73"/>
      <c r="G45" s="72"/>
      <c r="H45" s="74"/>
      <c r="I45" s="60"/>
      <c r="J45" s="60"/>
      <c r="K45" s="60"/>
      <c r="L45" s="75"/>
      <c r="M45" s="75"/>
      <c r="N45" s="75"/>
      <c r="O45" s="60">
        <f t="shared" si="11"/>
        <v>0</v>
      </c>
      <c r="P45" s="59">
        <f t="shared" si="11"/>
        <v>0</v>
      </c>
      <c r="Q45" s="59">
        <f t="shared" si="11"/>
        <v>0</v>
      </c>
      <c r="R45" s="59">
        <v>0</v>
      </c>
      <c r="S45" s="5"/>
    </row>
    <row r="46" spans="1:26" s="14" customFormat="1" ht="51.75" customHeight="1" hidden="1">
      <c r="A46" s="86"/>
      <c r="B46" s="85" t="s">
        <v>155</v>
      </c>
      <c r="C46" s="91" t="s">
        <v>139</v>
      </c>
      <c r="D46" s="68"/>
      <c r="E46" s="73"/>
      <c r="F46" s="73"/>
      <c r="G46" s="72"/>
      <c r="H46" s="74"/>
      <c r="I46" s="60"/>
      <c r="J46" s="60"/>
      <c r="K46" s="60"/>
      <c r="L46" s="75"/>
      <c r="M46" s="75"/>
      <c r="N46" s="75"/>
      <c r="O46" s="60">
        <f t="shared" si="11"/>
        <v>0</v>
      </c>
      <c r="P46" s="59">
        <f t="shared" si="11"/>
        <v>0</v>
      </c>
      <c r="Q46" s="59">
        <f t="shared" si="11"/>
        <v>0</v>
      </c>
      <c r="R46" s="59">
        <v>0</v>
      </c>
      <c r="S46" s="5"/>
      <c r="X46" s="14">
        <v>52702.001</v>
      </c>
      <c r="Y46" s="31" t="e">
        <f>O46+O42+#REF!+O56+O68+#REF!+O39+O27-26200</f>
        <v>#REF!</v>
      </c>
      <c r="Z46" s="31" t="e">
        <f>Y46-X46</f>
        <v>#REF!</v>
      </c>
    </row>
    <row r="47" spans="1:21" s="14" customFormat="1" ht="31.5" customHeight="1">
      <c r="A47" s="86" t="s">
        <v>57</v>
      </c>
      <c r="B47" s="92" t="s">
        <v>58</v>
      </c>
      <c r="C47" s="93" t="s">
        <v>14</v>
      </c>
      <c r="D47" s="68"/>
      <c r="E47" s="73"/>
      <c r="F47" s="62"/>
      <c r="G47" s="55"/>
      <c r="H47" s="65">
        <f aca="true" t="shared" si="12" ref="H47:R47">H48</f>
        <v>203594.4</v>
      </c>
      <c r="I47" s="46">
        <f t="shared" si="12"/>
        <v>160969</v>
      </c>
      <c r="J47" s="46">
        <f t="shared" si="12"/>
        <v>162602.6</v>
      </c>
      <c r="K47" s="46">
        <f t="shared" si="12"/>
        <v>161234.5</v>
      </c>
      <c r="L47" s="46">
        <f t="shared" si="12"/>
        <v>46408.399999999994</v>
      </c>
      <c r="M47" s="46">
        <f t="shared" si="12"/>
        <v>116.2</v>
      </c>
      <c r="N47" s="46">
        <f t="shared" si="12"/>
        <v>184.7</v>
      </c>
      <c r="O47" s="33">
        <f t="shared" si="12"/>
        <v>295287.6</v>
      </c>
      <c r="P47" s="46">
        <f t="shared" si="12"/>
        <v>276594.26</v>
      </c>
      <c r="Q47" s="46">
        <f t="shared" si="12"/>
        <v>280400.39999999997</v>
      </c>
      <c r="R47" s="46">
        <f t="shared" si="12"/>
        <v>282875</v>
      </c>
      <c r="S47" s="5"/>
      <c r="T47" s="31" t="s">
        <v>59</v>
      </c>
      <c r="U47" s="31"/>
    </row>
    <row r="48" spans="1:25" s="14" customFormat="1" ht="54.75" customHeight="1">
      <c r="A48" s="86"/>
      <c r="B48" s="77"/>
      <c r="C48" s="93" t="s">
        <v>130</v>
      </c>
      <c r="D48" s="68"/>
      <c r="E48" s="73"/>
      <c r="F48" s="73"/>
      <c r="G48" s="72"/>
      <c r="H48" s="70">
        <f aca="true" t="shared" si="13" ref="H48:R48">SUM(H50:H56)</f>
        <v>203594.4</v>
      </c>
      <c r="I48" s="33">
        <f t="shared" si="13"/>
        <v>160969</v>
      </c>
      <c r="J48" s="33">
        <f t="shared" si="13"/>
        <v>162602.6</v>
      </c>
      <c r="K48" s="33">
        <f t="shared" si="13"/>
        <v>161234.5</v>
      </c>
      <c r="L48" s="34">
        <f t="shared" si="13"/>
        <v>46408.399999999994</v>
      </c>
      <c r="M48" s="34">
        <f t="shared" si="13"/>
        <v>116.2</v>
      </c>
      <c r="N48" s="34">
        <f t="shared" si="13"/>
        <v>184.7</v>
      </c>
      <c r="O48" s="33">
        <f t="shared" si="13"/>
        <v>295287.6</v>
      </c>
      <c r="P48" s="33">
        <f t="shared" si="13"/>
        <v>276594.26</v>
      </c>
      <c r="Q48" s="33">
        <f t="shared" si="13"/>
        <v>280400.39999999997</v>
      </c>
      <c r="R48" s="33">
        <f t="shared" si="13"/>
        <v>282875</v>
      </c>
      <c r="S48" s="30"/>
      <c r="T48" s="94">
        <v>80301</v>
      </c>
      <c r="U48" s="94"/>
      <c r="X48" s="31"/>
      <c r="Y48" s="31"/>
    </row>
    <row r="49" spans="1:24" s="14" customFormat="1" ht="24.75">
      <c r="A49" s="23" t="s">
        <v>30</v>
      </c>
      <c r="B49" s="92"/>
      <c r="C49" s="67"/>
      <c r="D49" s="68"/>
      <c r="E49" s="73"/>
      <c r="F49" s="73"/>
      <c r="G49" s="72"/>
      <c r="H49" s="74"/>
      <c r="I49" s="60"/>
      <c r="J49" s="60"/>
      <c r="K49" s="60"/>
      <c r="L49" s="75"/>
      <c r="M49" s="75"/>
      <c r="N49" s="75"/>
      <c r="O49" s="60"/>
      <c r="P49" s="60"/>
      <c r="Q49" s="60"/>
      <c r="R49" s="60"/>
      <c r="S49" s="5"/>
      <c r="T49" s="95">
        <f>-1310382.01</f>
        <v>-1310382.01</v>
      </c>
      <c r="U49" s="36">
        <v>621</v>
      </c>
      <c r="V49" s="96" t="e">
        <f>T50+#REF!+#REF!+#REF!+#REF!+T51+T53+T55+T58</f>
        <v>#REF!</v>
      </c>
      <c r="X49" s="96"/>
    </row>
    <row r="50" spans="1:26" s="14" customFormat="1" ht="43.5" customHeight="1">
      <c r="A50" s="171"/>
      <c r="B50" s="182" t="s">
        <v>156</v>
      </c>
      <c r="C50" s="83" t="s">
        <v>34</v>
      </c>
      <c r="D50" s="68">
        <v>864</v>
      </c>
      <c r="E50" s="88" t="s">
        <v>61</v>
      </c>
      <c r="F50" s="88" t="s">
        <v>62</v>
      </c>
      <c r="G50" s="88" t="s">
        <v>63</v>
      </c>
      <c r="H50" s="97">
        <f>128958+28048.4+18224.2</f>
        <v>175230.6</v>
      </c>
      <c r="I50" s="98">
        <f>138085+9599.2</f>
        <v>147684.2</v>
      </c>
      <c r="J50" s="98">
        <f>140292.1+9010.6</f>
        <v>149302.7</v>
      </c>
      <c r="K50" s="98">
        <f>139115.2+8781.4</f>
        <v>147896.6</v>
      </c>
      <c r="L50" s="99">
        <v>28242.8</v>
      </c>
      <c r="M50" s="99">
        <v>116.2</v>
      </c>
      <c r="N50" s="99">
        <v>184.7</v>
      </c>
      <c r="O50" s="60">
        <f>'таблица 5 (рес.обесп)  (2)'!O47+'таблица 5 (рес.обесп)  (2)'!O48+'таблица 5 (рес.обесп)  (2)'!O49+'таблица 5 (рес.обесп)  (2)'!O50+'таблица 5 (рес.обесп)  (2)'!O51-0.1</f>
        <v>258637.19999999998</v>
      </c>
      <c r="P50" s="60">
        <f>'таблица 5 (рес.обесп)  (2)'!P47+'таблица 5 (рес.обесп)  (2)'!P48+'таблица 5 (рес.обесп)  (2)'!P49+'таблица 5 (рес.обесп)  (2)'!P50+'таблица 5 (рес.обесп)  (2)'!P51+1263.2-4000-0.1</f>
        <v>257357.6</v>
      </c>
      <c r="Q50" s="60">
        <f>'таблица 5 (рес.обесп)  (2)'!Q47+'таблица 5 (рес.обесп)  (2)'!Q48+'таблица 5 (рес.обесп)  (2)'!Q49+'таблица 5 (рес.обесп)  (2)'!Q50+'таблица 5 (рес.обесп)  (2)'!Q51+1263.2</f>
        <v>266462.3</v>
      </c>
      <c r="R50" s="60">
        <f>'таблица 5 (рес.обесп)  (2)'!R47+'таблица 5 (рес.обесп)  (2)'!R48+'таблица 5 (рес.обесп)  (2)'!R49+'таблица 5 (рес.обесп)  (2)'!R50+'таблица 5 (рес.обесп)  (2)'!R51+1263.2</f>
        <v>268836.7</v>
      </c>
      <c r="S50" s="5" t="s">
        <v>157</v>
      </c>
      <c r="T50" s="100">
        <f>-88320.31</f>
        <v>-88320.31</v>
      </c>
      <c r="U50" s="36">
        <v>611</v>
      </c>
      <c r="V50" s="101">
        <f>T54+T61</f>
        <v>17326800</v>
      </c>
      <c r="W50" s="31"/>
      <c r="X50" s="102"/>
      <c r="Y50" s="102"/>
      <c r="Z50" s="102"/>
    </row>
    <row r="51" spans="1:28" s="14" customFormat="1" ht="45.75" customHeight="1">
      <c r="A51" s="171"/>
      <c r="B51" s="183" t="s">
        <v>158</v>
      </c>
      <c r="C51" s="23" t="s">
        <v>34</v>
      </c>
      <c r="D51" s="68">
        <v>864</v>
      </c>
      <c r="E51" s="73" t="s">
        <v>71</v>
      </c>
      <c r="F51" s="88" t="s">
        <v>72</v>
      </c>
      <c r="G51" s="72">
        <v>621</v>
      </c>
      <c r="H51" s="98">
        <v>20000</v>
      </c>
      <c r="I51" s="98">
        <v>10140</v>
      </c>
      <c r="J51" s="98">
        <v>10155.1</v>
      </c>
      <c r="K51" s="60">
        <v>10193.1</v>
      </c>
      <c r="L51" s="99"/>
      <c r="M51" s="99"/>
      <c r="N51" s="75"/>
      <c r="O51" s="60">
        <f aca="true" t="shared" si="14" ref="O51:O56">I51+L51</f>
        <v>10140</v>
      </c>
      <c r="P51" s="60">
        <v>10801.56</v>
      </c>
      <c r="Q51" s="60">
        <v>10801.6</v>
      </c>
      <c r="R51" s="60">
        <v>10801.6</v>
      </c>
      <c r="S51" s="5" t="s">
        <v>159</v>
      </c>
      <c r="T51" s="100">
        <v>700500</v>
      </c>
      <c r="U51" s="36">
        <v>611</v>
      </c>
      <c r="X51" s="31"/>
      <c r="AB51" s="31"/>
    </row>
    <row r="52" spans="1:21" s="78" customFormat="1" ht="51.75" customHeight="1">
      <c r="A52" s="171"/>
      <c r="B52" s="182" t="s">
        <v>160</v>
      </c>
      <c r="C52" s="83" t="s">
        <v>34</v>
      </c>
      <c r="D52" s="68">
        <v>864</v>
      </c>
      <c r="E52" s="73"/>
      <c r="F52" s="88" t="s">
        <v>75</v>
      </c>
      <c r="G52" s="80"/>
      <c r="H52" s="80">
        <f>4833.8+655.2</f>
        <v>5489</v>
      </c>
      <c r="I52" s="98"/>
      <c r="J52" s="98"/>
      <c r="K52" s="98"/>
      <c r="L52" s="99">
        <v>858</v>
      </c>
      <c r="M52" s="99"/>
      <c r="N52" s="99"/>
      <c r="O52" s="60">
        <f>'таблица 5 (рес.обесп)  (2)'!O53+'таблица 5 (рес.обесп)  (2)'!O54</f>
        <v>6058</v>
      </c>
      <c r="P52" s="60">
        <f>'таблица 5 (рес.обесп)  (2)'!P53+'таблица 5 (рес.обесп)  (2)'!P54</f>
        <v>5476</v>
      </c>
      <c r="Q52" s="60">
        <f>'таблица 5 (рес.обесп)  (2)'!Q53+'таблица 5 (рес.обесп)  (2)'!Q54</f>
        <v>177.4</v>
      </c>
      <c r="R52" s="60">
        <f>'таблица 5 (рес.обесп)  (2)'!R53+'таблица 5 (рес.обесп)  (2)'!R54</f>
        <v>277.6</v>
      </c>
      <c r="S52" s="5" t="s">
        <v>161</v>
      </c>
      <c r="T52" s="95">
        <v>400000</v>
      </c>
      <c r="U52" s="36">
        <v>621</v>
      </c>
    </row>
    <row r="53" spans="1:21" s="14" customFormat="1" ht="52.5" customHeight="1">
      <c r="A53" s="184"/>
      <c r="B53" s="183" t="s">
        <v>162</v>
      </c>
      <c r="C53" s="23" t="s">
        <v>34</v>
      </c>
      <c r="D53" s="68">
        <v>864</v>
      </c>
      <c r="E53" s="73" t="s">
        <v>78</v>
      </c>
      <c r="F53" s="73" t="s">
        <v>79</v>
      </c>
      <c r="G53" s="72">
        <v>521</v>
      </c>
      <c r="H53" s="80"/>
      <c r="I53" s="98"/>
      <c r="J53" s="98"/>
      <c r="K53" s="60"/>
      <c r="L53" s="99">
        <v>16000</v>
      </c>
      <c r="M53" s="99"/>
      <c r="N53" s="75"/>
      <c r="O53" s="60">
        <f t="shared" si="14"/>
        <v>16000</v>
      </c>
      <c r="P53" s="60">
        <v>0</v>
      </c>
      <c r="Q53" s="60">
        <v>0</v>
      </c>
      <c r="R53" s="60">
        <v>0</v>
      </c>
      <c r="S53" s="5"/>
      <c r="T53" s="112">
        <v>17192900</v>
      </c>
      <c r="U53" s="113">
        <v>611</v>
      </c>
    </row>
    <row r="54" spans="1:21" s="78" customFormat="1" ht="39" customHeight="1" hidden="1">
      <c r="A54" s="171" t="s">
        <v>163</v>
      </c>
      <c r="B54" s="77" t="s">
        <v>81</v>
      </c>
      <c r="C54" s="23" t="s">
        <v>34</v>
      </c>
      <c r="D54" s="68"/>
      <c r="E54" s="73"/>
      <c r="F54" s="73"/>
      <c r="G54" s="72"/>
      <c r="H54" s="97"/>
      <c r="I54" s="115"/>
      <c r="J54" s="115"/>
      <c r="K54" s="60"/>
      <c r="L54" s="116"/>
      <c r="M54" s="116"/>
      <c r="N54" s="75"/>
      <c r="O54" s="60">
        <f t="shared" si="14"/>
        <v>0</v>
      </c>
      <c r="P54" s="60">
        <v>0</v>
      </c>
      <c r="Q54" s="60">
        <v>0</v>
      </c>
      <c r="R54" s="60">
        <v>0</v>
      </c>
      <c r="S54" s="5"/>
      <c r="T54" s="117">
        <v>7752000</v>
      </c>
      <c r="U54" s="118">
        <v>612</v>
      </c>
    </row>
    <row r="55" spans="1:21" s="78" customFormat="1" ht="39.75" customHeight="1" hidden="1">
      <c r="A55" s="171" t="s">
        <v>163</v>
      </c>
      <c r="B55" s="119" t="s">
        <v>82</v>
      </c>
      <c r="C55" s="83" t="s">
        <v>34</v>
      </c>
      <c r="D55" s="68"/>
      <c r="E55" s="73"/>
      <c r="F55" s="73"/>
      <c r="G55" s="72"/>
      <c r="H55" s="97"/>
      <c r="I55" s="115"/>
      <c r="J55" s="115"/>
      <c r="K55" s="60"/>
      <c r="L55" s="116"/>
      <c r="M55" s="116"/>
      <c r="N55" s="75"/>
      <c r="O55" s="60">
        <f t="shared" si="14"/>
        <v>0</v>
      </c>
      <c r="P55" s="60">
        <v>0</v>
      </c>
      <c r="Q55" s="60">
        <v>0</v>
      </c>
      <c r="R55" s="60">
        <v>0</v>
      </c>
      <c r="S55" s="5"/>
      <c r="T55" s="100">
        <v>533344</v>
      </c>
      <c r="U55" s="36">
        <v>611</v>
      </c>
    </row>
    <row r="56" spans="1:22" s="127" customFormat="1" ht="49.5" customHeight="1">
      <c r="A56" s="171"/>
      <c r="B56" s="77" t="s">
        <v>164</v>
      </c>
      <c r="C56" s="23" t="s">
        <v>34</v>
      </c>
      <c r="D56" s="68">
        <v>864</v>
      </c>
      <c r="E56" s="73" t="s">
        <v>78</v>
      </c>
      <c r="F56" s="88" t="s">
        <v>84</v>
      </c>
      <c r="G56" s="72">
        <v>622</v>
      </c>
      <c r="H56" s="121">
        <f>2874.8</f>
        <v>2874.8</v>
      </c>
      <c r="I56" s="122">
        <f>2874.8+270</f>
        <v>3144.8</v>
      </c>
      <c r="J56" s="122">
        <f>2874.8+270</f>
        <v>3144.8</v>
      </c>
      <c r="K56" s="122">
        <f>2874.8+270</f>
        <v>3144.8</v>
      </c>
      <c r="L56" s="123">
        <v>1307.6</v>
      </c>
      <c r="M56" s="123"/>
      <c r="N56" s="123"/>
      <c r="O56" s="60">
        <f t="shared" si="14"/>
        <v>4452.4</v>
      </c>
      <c r="P56" s="60">
        <v>2959.1</v>
      </c>
      <c r="Q56" s="60">
        <v>2959.1</v>
      </c>
      <c r="R56" s="60">
        <v>2959.1</v>
      </c>
      <c r="S56" s="5"/>
      <c r="T56" s="125">
        <f>1003000+638616.64</f>
        <v>1641616.6400000001</v>
      </c>
      <c r="U56" s="113">
        <v>621</v>
      </c>
      <c r="V56" s="126">
        <f>T56+T49+T52</f>
        <v>731234.6300000001</v>
      </c>
    </row>
    <row r="57" spans="1:21" ht="13.5">
      <c r="A57" s="128"/>
      <c r="B57" s="128"/>
      <c r="C57" s="71"/>
      <c r="D57" s="118"/>
      <c r="E57" s="118"/>
      <c r="F57" s="129"/>
      <c r="G57" s="118"/>
      <c r="H57" s="118"/>
      <c r="I57" s="118"/>
      <c r="J57" s="118"/>
      <c r="K57" s="118"/>
      <c r="L57" s="130"/>
      <c r="M57" s="130"/>
      <c r="N57" s="130"/>
      <c r="O57" s="118"/>
      <c r="P57" s="118"/>
      <c r="Q57" s="118"/>
      <c r="R57" s="118"/>
      <c r="S57" s="5" t="s">
        <v>76</v>
      </c>
      <c r="T57" s="131">
        <v>39000</v>
      </c>
      <c r="U57" s="132">
        <v>611</v>
      </c>
    </row>
    <row r="58" spans="1:21" s="14" customFormat="1" ht="15.75" customHeight="1">
      <c r="A58" s="133" t="s">
        <v>86</v>
      </c>
      <c r="B58" s="134" t="s">
        <v>165</v>
      </c>
      <c r="C58" s="93" t="s">
        <v>14</v>
      </c>
      <c r="D58" s="68"/>
      <c r="E58" s="73"/>
      <c r="F58" s="73"/>
      <c r="G58" s="72"/>
      <c r="H58" s="115">
        <f aca="true" t="shared" si="15" ref="H58:R58">H59</f>
        <v>96491.3</v>
      </c>
      <c r="I58" s="115">
        <f t="shared" si="15"/>
        <v>44068.6</v>
      </c>
      <c r="J58" s="115">
        <f t="shared" si="15"/>
        <v>43014.8</v>
      </c>
      <c r="K58" s="115">
        <f t="shared" si="15"/>
        <v>43408.8</v>
      </c>
      <c r="L58" s="116">
        <f t="shared" si="15"/>
        <v>5319</v>
      </c>
      <c r="M58" s="116">
        <f t="shared" si="15"/>
        <v>0</v>
      </c>
      <c r="N58" s="116">
        <f t="shared" si="15"/>
        <v>0</v>
      </c>
      <c r="O58" s="115">
        <f t="shared" si="15"/>
        <v>138906.61800000002</v>
      </c>
      <c r="P58" s="115">
        <f t="shared" si="15"/>
        <v>121923.19999999998</v>
      </c>
      <c r="Q58" s="115">
        <f t="shared" si="15"/>
        <v>123206.06999999999</v>
      </c>
      <c r="R58" s="115">
        <f t="shared" si="15"/>
        <v>123567.09999999999</v>
      </c>
      <c r="S58" s="5" t="s">
        <v>66</v>
      </c>
      <c r="T58" s="135">
        <f>1886583.36+7201200</f>
        <v>9087783.36</v>
      </c>
      <c r="U58" s="136">
        <v>611</v>
      </c>
    </row>
    <row r="59" spans="1:21" s="14" customFormat="1" ht="51.75" customHeight="1">
      <c r="A59" s="118"/>
      <c r="B59" s="118"/>
      <c r="C59" s="93" t="s">
        <v>166</v>
      </c>
      <c r="D59" s="68">
        <v>864</v>
      </c>
      <c r="E59" s="73"/>
      <c r="F59" s="73"/>
      <c r="G59" s="72"/>
      <c r="H59" s="70">
        <f aca="true" t="shared" si="16" ref="H59:R59">SUM(H61:H68)</f>
        <v>96491.3</v>
      </c>
      <c r="I59" s="137">
        <f t="shared" si="16"/>
        <v>44068.6</v>
      </c>
      <c r="J59" s="137">
        <f t="shared" si="16"/>
        <v>43014.8</v>
      </c>
      <c r="K59" s="137">
        <f t="shared" si="16"/>
        <v>43408.8</v>
      </c>
      <c r="L59" s="138">
        <f t="shared" si="16"/>
        <v>5319</v>
      </c>
      <c r="M59" s="138">
        <f t="shared" si="16"/>
        <v>0</v>
      </c>
      <c r="N59" s="138">
        <f t="shared" si="16"/>
        <v>0</v>
      </c>
      <c r="O59" s="137">
        <f t="shared" si="16"/>
        <v>138906.61800000002</v>
      </c>
      <c r="P59" s="137">
        <f t="shared" si="16"/>
        <v>121923.19999999998</v>
      </c>
      <c r="Q59" s="137">
        <f t="shared" si="16"/>
        <v>123206.06999999999</v>
      </c>
      <c r="R59" s="137">
        <f t="shared" si="16"/>
        <v>123567.09999999999</v>
      </c>
      <c r="S59" s="5" t="s">
        <v>80</v>
      </c>
      <c r="T59" s="131">
        <v>670000</v>
      </c>
      <c r="U59" s="136">
        <v>611</v>
      </c>
    </row>
    <row r="60" spans="1:24" s="14" customFormat="1" ht="24.75">
      <c r="A60" s="23" t="s">
        <v>30</v>
      </c>
      <c r="B60" s="77"/>
      <c r="C60" s="67"/>
      <c r="D60" s="68">
        <v>864</v>
      </c>
      <c r="E60" s="73"/>
      <c r="F60" s="73"/>
      <c r="G60" s="72"/>
      <c r="H60" s="74"/>
      <c r="I60" s="74"/>
      <c r="J60" s="74"/>
      <c r="K60" s="72"/>
      <c r="L60" s="139"/>
      <c r="M60" s="139"/>
      <c r="N60" s="11"/>
      <c r="O60" s="74"/>
      <c r="P60" s="74"/>
      <c r="Q60" s="72"/>
      <c r="R60" s="72"/>
      <c r="S60" s="5"/>
      <c r="T60" s="140">
        <v>800000</v>
      </c>
      <c r="U60" s="136">
        <v>622</v>
      </c>
      <c r="V60" s="141">
        <f>T60</f>
        <v>800000</v>
      </c>
      <c r="X60" s="31"/>
    </row>
    <row r="61" spans="1:24" s="78" customFormat="1" ht="56.25" customHeight="1">
      <c r="A61" s="171"/>
      <c r="B61" s="83" t="s">
        <v>167</v>
      </c>
      <c r="C61" s="83" t="s">
        <v>34</v>
      </c>
      <c r="D61" s="68">
        <v>864</v>
      </c>
      <c r="E61" s="73" t="s">
        <v>71</v>
      </c>
      <c r="F61" s="73" t="s">
        <v>89</v>
      </c>
      <c r="G61" s="80" t="s">
        <v>90</v>
      </c>
      <c r="H61" s="72">
        <f>74219.8-20000+244.9</f>
        <v>54464.700000000004</v>
      </c>
      <c r="I61" s="72">
        <f>244.9</f>
        <v>244.9</v>
      </c>
      <c r="J61" s="60">
        <f>244.9</f>
        <v>244.9</v>
      </c>
      <c r="K61" s="60">
        <f>244.9</f>
        <v>244.9</v>
      </c>
      <c r="L61" s="11"/>
      <c r="M61" s="75"/>
      <c r="N61" s="75"/>
      <c r="O61" s="60">
        <f>'таблица 5 (рес.обесп)  (2)'!O63+'таблица 5 (рес.обесп)  (2)'!O64+'таблица 5 (рес.обесп)  (2)'!O65+0.1</f>
        <v>77436.318</v>
      </c>
      <c r="P61" s="60">
        <f>'таблица 5 (рес.обесп)  (2)'!P63+'таблица 5 (рес.обесп)  (2)'!P64+'таблица 5 (рес.обесп)  (2)'!P65</f>
        <v>66585.29999999999</v>
      </c>
      <c r="Q61" s="60">
        <f>'таблица 5 (рес.обесп)  (2)'!Q63+'таблица 5 (рес.обесп)  (2)'!Q64+'таблица 5 (рес.обесп)  (2)'!Q65</f>
        <v>67381.97</v>
      </c>
      <c r="R61" s="60">
        <f>'таблица 5 (рес.обесп)  (2)'!R63+'таблица 5 (рес.обесп)  (2)'!R64+'таблица 5 (рес.обесп)  (2)'!R65</f>
        <v>68569.09999999999</v>
      </c>
      <c r="S61" s="5" t="s">
        <v>168</v>
      </c>
      <c r="T61" s="117">
        <f>10374800-800000</f>
        <v>9574800</v>
      </c>
      <c r="U61" s="36">
        <v>612</v>
      </c>
      <c r="X61" s="144"/>
    </row>
    <row r="62" spans="1:19" s="78" customFormat="1" ht="43.5" customHeight="1">
      <c r="A62" s="171"/>
      <c r="B62" s="77" t="s">
        <v>169</v>
      </c>
      <c r="C62" s="23" t="s">
        <v>34</v>
      </c>
      <c r="D62" s="68">
        <v>864</v>
      </c>
      <c r="E62" s="73" t="s">
        <v>71</v>
      </c>
      <c r="F62" s="73" t="s">
        <v>96</v>
      </c>
      <c r="G62" s="72">
        <v>622</v>
      </c>
      <c r="H62" s="72">
        <v>831.2</v>
      </c>
      <c r="I62" s="72">
        <f>333.5+966.9</f>
        <v>1300.4</v>
      </c>
      <c r="J62" s="72">
        <f>333.5</f>
        <v>333.5</v>
      </c>
      <c r="K62" s="72">
        <f>333.5</f>
        <v>333.5</v>
      </c>
      <c r="L62" s="75">
        <v>4109</v>
      </c>
      <c r="M62" s="11"/>
      <c r="N62" s="11"/>
      <c r="O62" s="60">
        <f>I62+L62+969.8</f>
        <v>6379.2</v>
      </c>
      <c r="P62" s="59">
        <v>350.2</v>
      </c>
      <c r="Q62" s="59">
        <v>350.2</v>
      </c>
      <c r="R62" s="59">
        <v>350.2</v>
      </c>
      <c r="S62" s="185" t="s">
        <v>170</v>
      </c>
    </row>
    <row r="63" spans="1:19" s="14" customFormat="1" ht="47.25" customHeight="1">
      <c r="A63" s="171"/>
      <c r="B63" s="147" t="s">
        <v>171</v>
      </c>
      <c r="C63" s="23" t="s">
        <v>34</v>
      </c>
      <c r="D63" s="68">
        <v>864</v>
      </c>
      <c r="E63" s="73" t="s">
        <v>71</v>
      </c>
      <c r="F63" s="73" t="s">
        <v>99</v>
      </c>
      <c r="G63" s="72">
        <v>630</v>
      </c>
      <c r="H63" s="148">
        <v>32116.3</v>
      </c>
      <c r="I63" s="148">
        <v>32116.3</v>
      </c>
      <c r="J63" s="148">
        <v>32116.3</v>
      </c>
      <c r="K63" s="72">
        <v>32116.3</v>
      </c>
      <c r="L63" s="11"/>
      <c r="M63" s="11"/>
      <c r="N63" s="11"/>
      <c r="O63" s="60">
        <f>I63+L63</f>
        <v>32116.3</v>
      </c>
      <c r="P63" s="59">
        <v>32116.3</v>
      </c>
      <c r="Q63" s="59">
        <v>32116.3</v>
      </c>
      <c r="R63" s="59">
        <v>32116.3</v>
      </c>
      <c r="S63" s="5"/>
    </row>
    <row r="64" spans="1:19" s="14" customFormat="1" ht="46.5" customHeight="1" hidden="1">
      <c r="A64" s="171" t="s">
        <v>172</v>
      </c>
      <c r="B64" s="77" t="s">
        <v>173</v>
      </c>
      <c r="C64" s="23" t="s">
        <v>139</v>
      </c>
      <c r="D64" s="68"/>
      <c r="E64" s="73"/>
      <c r="F64" s="73"/>
      <c r="G64" s="72"/>
      <c r="H64" s="148"/>
      <c r="I64" s="148"/>
      <c r="J64" s="148"/>
      <c r="K64" s="149"/>
      <c r="L64" s="11"/>
      <c r="M64" s="11"/>
      <c r="N64" s="150"/>
      <c r="O64" s="60">
        <f>I64+L64</f>
        <v>0</v>
      </c>
      <c r="P64" s="59">
        <f>J64+M64</f>
        <v>0</v>
      </c>
      <c r="Q64" s="59">
        <f>K64+N64</f>
        <v>0</v>
      </c>
      <c r="R64" s="59"/>
      <c r="S64" s="30"/>
    </row>
    <row r="65" spans="1:19" s="78" customFormat="1" ht="51.75" customHeight="1">
      <c r="A65" s="186"/>
      <c r="B65" s="147" t="s">
        <v>174</v>
      </c>
      <c r="C65" s="23" t="s">
        <v>34</v>
      </c>
      <c r="D65" s="68">
        <v>864</v>
      </c>
      <c r="E65" s="88" t="s">
        <v>102</v>
      </c>
      <c r="F65" s="88" t="s">
        <v>103</v>
      </c>
      <c r="G65" s="80" t="s">
        <v>104</v>
      </c>
      <c r="H65" s="148">
        <f>2206.1</f>
        <v>2206.1</v>
      </c>
      <c r="I65" s="152">
        <f>2280</f>
        <v>2280</v>
      </c>
      <c r="J65" s="148">
        <v>2098.7</v>
      </c>
      <c r="K65" s="60">
        <v>2400</v>
      </c>
      <c r="L65" s="75">
        <v>1210</v>
      </c>
      <c r="M65" s="11"/>
      <c r="N65" s="75"/>
      <c r="O65" s="60">
        <f>I65+L65</f>
        <v>3490</v>
      </c>
      <c r="P65" s="59">
        <f>4201.5+480</f>
        <v>4681.5</v>
      </c>
      <c r="Q65" s="59">
        <f>4278.1+480</f>
        <v>4758.1</v>
      </c>
      <c r="R65" s="59">
        <f>3200+320</f>
        <v>3520</v>
      </c>
      <c r="S65" s="5"/>
    </row>
    <row r="66" spans="1:19" s="78" customFormat="1" ht="63.75" customHeight="1">
      <c r="A66" s="186"/>
      <c r="B66" s="147" t="s">
        <v>175</v>
      </c>
      <c r="C66" s="23" t="s">
        <v>34</v>
      </c>
      <c r="D66" s="68">
        <v>864</v>
      </c>
      <c r="E66" s="88" t="s">
        <v>106</v>
      </c>
      <c r="F66" s="88" t="s">
        <v>107</v>
      </c>
      <c r="G66" s="80" t="s">
        <v>104</v>
      </c>
      <c r="H66" s="152">
        <f>5300</f>
        <v>5300</v>
      </c>
      <c r="I66" s="152">
        <f>5300</f>
        <v>5300</v>
      </c>
      <c r="J66" s="152">
        <f>5300</f>
        <v>5300</v>
      </c>
      <c r="K66" s="60">
        <v>5300</v>
      </c>
      <c r="L66" s="75"/>
      <c r="M66" s="75"/>
      <c r="N66" s="75"/>
      <c r="O66" s="60">
        <f>I66+L66</f>
        <v>5300</v>
      </c>
      <c r="P66" s="59">
        <v>5300</v>
      </c>
      <c r="Q66" s="59">
        <v>5300</v>
      </c>
      <c r="R66" s="59">
        <v>5300</v>
      </c>
      <c r="S66" s="5"/>
    </row>
    <row r="67" spans="1:24" s="78" customFormat="1" ht="63" customHeight="1">
      <c r="A67" s="187"/>
      <c r="B67" s="147" t="s">
        <v>176</v>
      </c>
      <c r="C67" s="23" t="s">
        <v>34</v>
      </c>
      <c r="D67" s="68">
        <v>864</v>
      </c>
      <c r="E67" s="88" t="s">
        <v>109</v>
      </c>
      <c r="F67" s="88" t="s">
        <v>110</v>
      </c>
      <c r="G67" s="80">
        <v>330</v>
      </c>
      <c r="H67" s="152">
        <f>1573</f>
        <v>1573</v>
      </c>
      <c r="I67" s="152">
        <v>1695.5</v>
      </c>
      <c r="J67" s="152">
        <v>1789.9</v>
      </c>
      <c r="K67" s="72">
        <v>1882.6</v>
      </c>
      <c r="L67" s="75"/>
      <c r="M67" s="75"/>
      <c r="N67" s="11"/>
      <c r="O67" s="60">
        <f>I67+L67</f>
        <v>1695.5</v>
      </c>
      <c r="P67" s="59">
        <v>1791</v>
      </c>
      <c r="Q67" s="59">
        <v>1897.7</v>
      </c>
      <c r="R67" s="59">
        <v>2001.8</v>
      </c>
      <c r="S67" s="143"/>
      <c r="X67" s="144"/>
    </row>
    <row r="68" spans="1:19" s="78" customFormat="1" ht="76.5" customHeight="1">
      <c r="A68" s="187"/>
      <c r="B68" s="83" t="s">
        <v>177</v>
      </c>
      <c r="C68" s="83" t="s">
        <v>34</v>
      </c>
      <c r="D68" s="68">
        <v>864</v>
      </c>
      <c r="E68" s="73" t="s">
        <v>71</v>
      </c>
      <c r="F68" s="88" t="s">
        <v>112</v>
      </c>
      <c r="G68" s="80">
        <v>612</v>
      </c>
      <c r="H68" s="152"/>
      <c r="I68" s="152">
        <v>1131.5</v>
      </c>
      <c r="J68" s="152">
        <v>1131.5</v>
      </c>
      <c r="K68" s="72">
        <v>1131.5</v>
      </c>
      <c r="L68" s="75"/>
      <c r="M68" s="75"/>
      <c r="N68" s="11"/>
      <c r="O68" s="60">
        <f>'таблица 5 (рес.обесп)  (2)'!O72+'таблица 5 (рес.обесп)  (2)'!O73</f>
        <v>12489.300000000001</v>
      </c>
      <c r="P68" s="60">
        <f>'таблица 5 (рес.обесп)  (2)'!P72+'таблица 5 (рес.обесп)  (2)'!P73</f>
        <v>11098.9</v>
      </c>
      <c r="Q68" s="60">
        <f>'таблица 5 (рес.обесп)  (2)'!Q72+'таблица 5 (рес.обесп)  (2)'!Q73</f>
        <v>11401.8</v>
      </c>
      <c r="R68" s="60">
        <f>'таблица 5 (рес.обесп)  (2)'!R72+'таблица 5 (рес.обесп)  (2)'!R73</f>
        <v>11709.7</v>
      </c>
      <c r="S68" s="5" t="s">
        <v>178</v>
      </c>
    </row>
    <row r="69" spans="1:19" s="14" customFormat="1" ht="16.5" customHeight="1">
      <c r="A69" s="120" t="s">
        <v>114</v>
      </c>
      <c r="B69" s="153" t="s">
        <v>179</v>
      </c>
      <c r="C69" s="93" t="s">
        <v>14</v>
      </c>
      <c r="D69" s="68"/>
      <c r="E69" s="73"/>
      <c r="F69" s="73"/>
      <c r="G69" s="80"/>
      <c r="H69" s="154">
        <f aca="true" t="shared" si="17" ref="H69:R69">H70</f>
        <v>17086.6</v>
      </c>
      <c r="I69" s="155">
        <f t="shared" si="17"/>
        <v>19050.300000000003</v>
      </c>
      <c r="J69" s="155">
        <f t="shared" si="17"/>
        <v>19546.300000000003</v>
      </c>
      <c r="K69" s="155">
        <f t="shared" si="17"/>
        <v>19620.600000000002</v>
      </c>
      <c r="L69" s="138">
        <f t="shared" si="17"/>
        <v>1820.2900000000002</v>
      </c>
      <c r="M69" s="138">
        <f t="shared" si="17"/>
        <v>0</v>
      </c>
      <c r="N69" s="138">
        <f t="shared" si="17"/>
        <v>0</v>
      </c>
      <c r="O69" s="137">
        <f t="shared" si="17"/>
        <v>19432.5</v>
      </c>
      <c r="P69" s="156">
        <f t="shared" si="17"/>
        <v>19422.300000000003</v>
      </c>
      <c r="Q69" s="156">
        <f t="shared" si="17"/>
        <v>19489.7</v>
      </c>
      <c r="R69" s="156">
        <f t="shared" si="17"/>
        <v>19533.100000000002</v>
      </c>
      <c r="S69" s="5"/>
    </row>
    <row r="70" spans="1:24" s="14" customFormat="1" ht="56.25" customHeight="1">
      <c r="A70" s="23" t="s">
        <v>30</v>
      </c>
      <c r="B70" s="2"/>
      <c r="C70" s="93" t="s">
        <v>130</v>
      </c>
      <c r="D70" s="68">
        <v>864</v>
      </c>
      <c r="E70" s="73"/>
      <c r="F70" s="73"/>
      <c r="G70" s="72"/>
      <c r="H70" s="70">
        <f aca="true" t="shared" si="18" ref="H70:Q70">SUM(H71:H72)</f>
        <v>17086.6</v>
      </c>
      <c r="I70" s="137">
        <f t="shared" si="18"/>
        <v>19050.300000000003</v>
      </c>
      <c r="J70" s="137">
        <f t="shared" si="18"/>
        <v>19546.300000000003</v>
      </c>
      <c r="K70" s="137">
        <f t="shared" si="18"/>
        <v>19620.600000000002</v>
      </c>
      <c r="L70" s="138">
        <f t="shared" si="18"/>
        <v>1820.2900000000002</v>
      </c>
      <c r="M70" s="138">
        <f t="shared" si="18"/>
        <v>0</v>
      </c>
      <c r="N70" s="138">
        <f t="shared" si="18"/>
        <v>0</v>
      </c>
      <c r="O70" s="137">
        <f t="shared" si="18"/>
        <v>19432.5</v>
      </c>
      <c r="P70" s="137">
        <f t="shared" si="18"/>
        <v>19422.300000000003</v>
      </c>
      <c r="Q70" s="137">
        <f t="shared" si="18"/>
        <v>19489.7</v>
      </c>
      <c r="R70" s="137">
        <f>SUM(R71:R72)</f>
        <v>19533.100000000002</v>
      </c>
      <c r="S70" s="5"/>
      <c r="X70" s="81"/>
    </row>
    <row r="71" spans="1:19" s="14" customFormat="1" ht="65.25" customHeight="1">
      <c r="A71" s="188"/>
      <c r="B71" s="147" t="s">
        <v>180</v>
      </c>
      <c r="C71" s="23" t="s">
        <v>34</v>
      </c>
      <c r="D71" s="68">
        <v>864</v>
      </c>
      <c r="E71" s="158">
        <v>1105</v>
      </c>
      <c r="F71" s="88" t="s">
        <v>117</v>
      </c>
      <c r="G71" s="80" t="s">
        <v>118</v>
      </c>
      <c r="H71" s="148">
        <v>17036.1</v>
      </c>
      <c r="I71" s="148">
        <f>17701.4+1298.5</f>
        <v>18999.9</v>
      </c>
      <c r="J71" s="148">
        <f>18144.5+1351.4</f>
        <v>19495.9</v>
      </c>
      <c r="K71" s="72">
        <f>18218.8+1351.4</f>
        <v>19570.2</v>
      </c>
      <c r="L71" s="75">
        <v>-57.86</v>
      </c>
      <c r="M71" s="11"/>
      <c r="N71" s="11"/>
      <c r="O71" s="60">
        <f>18942-3</f>
        <v>18939</v>
      </c>
      <c r="P71" s="59">
        <v>19371.9</v>
      </c>
      <c r="Q71" s="59">
        <v>19439.3</v>
      </c>
      <c r="R71" s="59">
        <v>19482.7</v>
      </c>
      <c r="S71" s="5"/>
    </row>
    <row r="72" spans="1:19" s="78" customFormat="1" ht="28.5" customHeight="1">
      <c r="A72" s="188"/>
      <c r="B72" s="147" t="s">
        <v>181</v>
      </c>
      <c r="C72" s="23" t="s">
        <v>34</v>
      </c>
      <c r="D72" s="68">
        <v>864</v>
      </c>
      <c r="E72" s="72" t="s">
        <v>109</v>
      </c>
      <c r="F72" s="72">
        <v>8050102</v>
      </c>
      <c r="G72" s="80" t="s">
        <v>121</v>
      </c>
      <c r="H72" s="148">
        <v>50.5</v>
      </c>
      <c r="I72" s="148">
        <v>50.4</v>
      </c>
      <c r="J72" s="148">
        <v>50.4</v>
      </c>
      <c r="K72" s="72">
        <v>50.4</v>
      </c>
      <c r="L72" s="75">
        <v>1878.15</v>
      </c>
      <c r="M72" s="11"/>
      <c r="N72" s="11"/>
      <c r="O72" s="60">
        <f>1928.6+3-1438.1</f>
        <v>493.5</v>
      </c>
      <c r="P72" s="59">
        <v>50.4</v>
      </c>
      <c r="Q72" s="59">
        <v>50.4</v>
      </c>
      <c r="R72" s="59">
        <v>50.4</v>
      </c>
      <c r="S72" s="5"/>
    </row>
    <row r="73" spans="1:21" s="5" customFormat="1" ht="6.75" customHeight="1" hidden="1">
      <c r="A73" s="188">
        <f>'[1]Лист1'!$A$324</f>
        <v>0</v>
      </c>
      <c r="B73" s="77" t="s">
        <v>182</v>
      </c>
      <c r="C73" s="23" t="s">
        <v>139</v>
      </c>
      <c r="D73" s="128"/>
      <c r="E73" s="128"/>
      <c r="F73" s="128"/>
      <c r="G73" s="128"/>
      <c r="H73" s="128"/>
      <c r="I73" s="128"/>
      <c r="J73" s="128"/>
      <c r="K73" s="128"/>
      <c r="L73" s="160"/>
      <c r="M73" s="160"/>
      <c r="N73" s="160"/>
      <c r="O73" s="60">
        <f>I73+L73</f>
        <v>0</v>
      </c>
      <c r="P73" s="59">
        <v>0</v>
      </c>
      <c r="Q73" s="59">
        <v>0</v>
      </c>
      <c r="R73" s="59">
        <v>0</v>
      </c>
      <c r="T73" s="157"/>
      <c r="U73" s="157"/>
    </row>
    <row r="74" spans="1:18" s="5" customFormat="1" ht="23.25" customHeight="1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2">
        <f>L9+104.4</f>
        <v>74303.09</v>
      </c>
      <c r="M74" s="163"/>
      <c r="N74" s="163"/>
      <c r="O74" s="164"/>
      <c r="P74" s="164"/>
      <c r="Q74" s="164"/>
      <c r="R74" s="164"/>
    </row>
    <row r="75" spans="16:18" ht="12.75">
      <c r="P75" s="165"/>
      <c r="Q75" s="165"/>
      <c r="R75" s="165"/>
    </row>
    <row r="76" spans="7:19" ht="12.75" hidden="1">
      <c r="G76" s="2" t="s">
        <v>59</v>
      </c>
      <c r="O76" s="2">
        <v>1120867.8</v>
      </c>
      <c r="P76" s="165">
        <v>432327.9</v>
      </c>
      <c r="Q76" s="165">
        <v>433808.3399999999</v>
      </c>
      <c r="R76" s="165">
        <v>436884.8999999999</v>
      </c>
      <c r="S76" s="5" t="s">
        <v>46</v>
      </c>
    </row>
    <row r="77" spans="15:19" ht="12.75" hidden="1">
      <c r="O77" s="165">
        <f>O8-O76</f>
        <v>40893.11800000002</v>
      </c>
      <c r="P77" s="166">
        <f>P9-P76</f>
        <v>28899.159999999974</v>
      </c>
      <c r="Q77" s="166">
        <f>Q9-Q76</f>
        <v>216563.73000000016</v>
      </c>
      <c r="R77" s="166">
        <f>R9-R76</f>
        <v>1394.2500000000582</v>
      </c>
      <c r="S77" s="5" t="s">
        <v>47</v>
      </c>
    </row>
    <row r="78" spans="16:19" ht="12.75">
      <c r="P78" s="167"/>
      <c r="Q78" s="167"/>
      <c r="R78" s="167"/>
      <c r="S78" s="157"/>
    </row>
    <row r="79" spans="16:18" ht="12.75">
      <c r="P79" s="166"/>
      <c r="Q79" s="166"/>
      <c r="R79" s="166"/>
    </row>
    <row r="80" spans="16:18" ht="12.75">
      <c r="P80" s="165"/>
      <c r="Q80" s="165"/>
      <c r="R80" s="165"/>
    </row>
    <row r="81" spans="16:20" ht="12.75">
      <c r="P81" s="166"/>
      <c r="Q81" s="166"/>
      <c r="R81" s="166"/>
      <c r="T81" s="2">
        <v>89680781.35081851</v>
      </c>
    </row>
  </sheetData>
  <sheetProtection selectLockedCells="1" selectUnlockedCells="1"/>
  <autoFilter ref="A7:S7"/>
  <mergeCells count="19">
    <mergeCell ref="A3:R3"/>
    <mergeCell ref="A5:A6"/>
    <mergeCell ref="B5:B6"/>
    <mergeCell ref="C5:C6"/>
    <mergeCell ref="D5:G5"/>
    <mergeCell ref="H5:K5"/>
    <mergeCell ref="L5:N5"/>
    <mergeCell ref="O5:R5"/>
    <mergeCell ref="A8:A14"/>
    <mergeCell ref="B8:B14"/>
    <mergeCell ref="A15:A17"/>
    <mergeCell ref="B15:B17"/>
    <mergeCell ref="B22:B23"/>
    <mergeCell ref="A29:A30"/>
    <mergeCell ref="B29:B30"/>
    <mergeCell ref="B39:B40"/>
    <mergeCell ref="B42:B44"/>
    <mergeCell ref="T48:U48"/>
    <mergeCell ref="A74:K74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Гайдай Юлия Константиновна</dc:creator>
  <cp:keywords/>
  <dc:description/>
  <cp:lastModifiedBy/>
  <cp:lastPrinted>2013-12-17T11:06:02Z</cp:lastPrinted>
  <dcterms:created xsi:type="dcterms:W3CDTF">2013-08-15T05:52:19Z</dcterms:created>
  <dcterms:modified xsi:type="dcterms:W3CDTF">2014-06-01T16:13:48Z</dcterms:modified>
  <cp:category/>
  <cp:version/>
  <cp:contentType/>
  <cp:contentStatus/>
  <cp:revision>133</cp:revision>
</cp:coreProperties>
</file>