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83" activeTab="2"/>
  </bookViews>
  <sheets>
    <sheet name="ТАБЛИЦА 2" sheetId="1" r:id="rId1"/>
    <sheet name="ТАБЛИЦА 6" sheetId="2" r:id="rId2"/>
    <sheet name="ТАБЛИЦА 7" sheetId="3" r:id="rId3"/>
  </sheets>
  <externalReferences>
    <externalReference r:id="rId6"/>
    <externalReference r:id="rId7"/>
  </externalReferences>
  <definedNames>
    <definedName name="_xlnm.Print_Area" localSheetId="0">'ТАБЛИЦА 2'!$A$1:$K$278</definedName>
    <definedName name="_xlnm._FilterDatabase" localSheetId="0" hidden="1">'ТАБЛИЦА 2'!$A$6:$BS$278</definedName>
    <definedName name="_xlnm.Print_Area" localSheetId="1">'ТАБЛИЦА 6'!$A$1:$K$239</definedName>
    <definedName name="_xlnm._FilterDatabase" localSheetId="1" hidden="1">'ТАБЛИЦА 6'!$A$10:$M$239</definedName>
    <definedName name="_xlnm.Print_Area" localSheetId="2">'ТАБЛИЦА 7'!$A$1:$G$547</definedName>
    <definedName name="_xlnm._FilterDatabase" localSheetId="2" hidden="1">'ТАБЛИЦА 7'!$A$15:$IG$547</definedName>
  </definedNames>
  <calcPr fullCalcOnLoad="1"/>
</workbook>
</file>

<file path=xl/sharedStrings.xml><?xml version="1.0" encoding="utf-8"?>
<sst xmlns="http://schemas.openxmlformats.org/spreadsheetml/2006/main" count="2952" uniqueCount="1361">
  <si>
    <t>2 таблица</t>
  </si>
  <si>
    <t xml:space="preserve">Канму уджтасса уджтасувъяслӧн шӧр мероприятиеяс лыддьӧг
</t>
  </si>
  <si>
    <t xml:space="preserve"> Д/в №</t>
  </si>
  <si>
    <t xml:space="preserve">Ведомствоса торъя мога уджтаслӧн, шӧр мероприятиелӧн номер да ним 
</t>
  </si>
  <si>
    <t>Ответственный исполнитель</t>
  </si>
  <si>
    <t xml:space="preserve">Срок </t>
  </si>
  <si>
    <t>Объем финансирования по годам (тыс. руб.)</t>
  </si>
  <si>
    <t>Виччысяна медшӧр бӧртас (дженьыда гӧгӧрвоӧдӧм)</t>
  </si>
  <si>
    <t xml:space="preserve">Ведомствоса торъя мога уджтас, шӧр мероприятие збыльмӧдтӧмысь бӧртасъяс
</t>
  </si>
  <si>
    <t>Канму джтаслӧн (уджтасувлӧн) петкӧдласъяскӧд йитчӧм</t>
  </si>
  <si>
    <t>начала реализации</t>
  </si>
  <si>
    <t>окончания реализации</t>
  </si>
  <si>
    <t xml:space="preserve">2014 год (очередной год) </t>
  </si>
  <si>
    <t>2015 год (первый год планового периода)</t>
  </si>
  <si>
    <t>2016 год (второй год планового периода)</t>
  </si>
  <si>
    <t xml:space="preserve">1 уджтасув. “Висьӧмъясысь ӧлӧдӧм да бур дзоньвидза оласног лӧсьӧдӧм. Медводдза медико-санитарнӧй отсӧг сетӧм сӧвмӧдӧм” </t>
  </si>
  <si>
    <r>
      <t xml:space="preserve">1 мог.   </t>
    </r>
    <r>
      <rPr>
        <i/>
        <sz val="16"/>
        <color indexed="18"/>
        <rFont val="Times New Roman"/>
        <family val="1"/>
      </rPr>
      <t>Абу вуджан висьӧмъясысь медицинаын ӧлӧдан система сӧвмӧдӧм да Россия Федерацияса олысьяслы дзоньвидза оласног лӧсьӧдӧм, сы лыдын медшӧр лоны верманторъяс паськалӧм чинтӧм</t>
    </r>
  </si>
  <si>
    <t>1.</t>
  </si>
  <si>
    <r>
      <t xml:space="preserve">Шӧр мероприятие 1.0101: </t>
    </r>
    <r>
      <rPr>
        <sz val="14"/>
        <color indexed="18"/>
        <rFont val="Times New Roman"/>
        <family val="1"/>
      </rPr>
      <t>Коми Республикаын табак куритӧм топӧдӧм</t>
    </r>
  </si>
  <si>
    <t>Министерство здравоохранения Республики Коми</t>
  </si>
  <si>
    <t>верстьӧ йӧз пӧвстын табак куритӧм 20,8 прӧчент вылӧ, челядь да томулов пӧвстын – 11,3 прӧчент вылӧ чинӧм</t>
  </si>
  <si>
    <t>табак куритӧмкӧд йитчӧм висьӧмъяс содӧм, демография серпас лёкмӧм</t>
  </si>
  <si>
    <t xml:space="preserve">ГП: верстьӧ йӧз пӧвстын табак куритӧм паськалӧм (100 олысь морт вылӧ случай);
ГП: челядь да томулов пӧвстын табак куритӧм паськалӧм (100 олысь морт вылӧ случай);                                       ПП1: верстьӧ йӧз пӧвстын ыджыд артериальнӧй давление паськалӧм (верстьӧ йӧзлӧн пай, кодъяслӧн эм ыджыд артериальнӧй давление, олысьяслӧн став лыд серти (прӧчентъясӧн))                                 
</t>
  </si>
  <si>
    <t>2.</t>
  </si>
  <si>
    <r>
      <t xml:space="preserve">Шӧр мероприятие 1.0102: </t>
    </r>
    <r>
      <rPr>
        <sz val="14"/>
        <color indexed="18"/>
        <rFont val="Times New Roman"/>
        <family val="1"/>
      </rPr>
      <t>Коми Республикаса олысьяслӧн сёян-юанкӧд йитчӧм рискъяс паськалӧм чинӧм</t>
    </r>
  </si>
  <si>
    <t xml:space="preserve">верстьӧ йӧз пӧвстын тшӧгӧм паськалӧм 25 прӧчент тшупӧдын кольӧм верстьӧ йӧзлӧн став олысь лыд серти,  верстьӧ йӧз пӧвстын ыджыд артериальнӧй давление 8 прӧчент вылын, верстьӧ йӧз пӧвстын вирын холестеринлӧн вевтыртӧм тшупӧд 10 прӧчент вылын кольӧм, верстьӧ йӧз пӧвстын фрукты да град выв пуктасъяс этша сёйӧм 29 прӧчент вылӧ, верстьӧ йӧз пӧвстын сов ёна сёйӧм подув тшупӧдысь 10 прӧчент вылӧ чинӧм </t>
  </si>
  <si>
    <t>абу коланнога сёйӧмкӧд йитчӧм висьӧмъяс содӧм, демография серпас лёкмӧм</t>
  </si>
  <si>
    <t xml:space="preserve">ГП: чужигӧн виччысяна оландыр (во);
ПП1: верстьӧ йӧз пӧвстын тшӧгӧм паськалӧм  (морт сьӧкталӧн индекс 30 кг/кв.м вылӧ унджык) (тшӧгӧмӧн висьысь верстьӧ йӧзлӧн пай (морт сьӧкталӧн индекс 30 кг/кв.м. вылӧ унджык) олысьяслӧн став лыд серти) (прӧчентъясӧн);
ПП1: верстьӧ йӧз пӧвстын вирын холестерин тшупӧд вевтыртӧм (верстьӧйӧзлӧн пай, кодъяслӧн вевтыртӧ холестерин тшупӧд, олысьяслӧн став лыд серти) (прӧчентъясӧн));
ПП1: верстьӧ йӧз пӧвстын ыджыд артериальнӧй давление паськалӧм (верстьӧ йӧзлӧн пай, кодъяслӧн эм ыджыд артериальнӧй давление, олысьяслӧн став лыд серти (прӧчентъясӧн));                                                                 ПП1: верстьӧ йӧз пӧвстын сов ёна сёйӧм (верстьӧ йӧзлӧн пай, кодъяс пӧвстын тӧдчӧ сов ёна сёйӧм, олысьяслӧн став лыд серти) (прӧчентъясӧн);
ПП1: верстьӧ йӧз пӧвстын фрукты да град выв пуктасъяс этша сёйӧм (верстьӧ йӧзлӧн пай, кодъяс пӧвстын тӧдчӧ фрукты да град выв пуктасъяс этша сёйӧм, олысьяслӧн став лыд серти) (прӧчентъясӧн))
</t>
  </si>
  <si>
    <t>3.</t>
  </si>
  <si>
    <r>
      <t xml:space="preserve">Шӧр мероприятие 1.0103: </t>
    </r>
    <r>
      <rPr>
        <sz val="14"/>
        <color indexed="18"/>
        <rFont val="Times New Roman"/>
        <family val="1"/>
      </rPr>
      <t>Коми Республикаса йӧзлысь вир-яй ёнмӧдан тшупӧд кыпӧдӧм</t>
    </r>
  </si>
  <si>
    <t>верстьӧ йӧз пӧвстын тшӧгӧм паськалӧм 25 прӧчент тшупӧдын кольӧм верстьӧ йӧзлӧн став олысь лыд серти, верстьӧ йӧз пӧвстын вир-яй слаба уджӧдӧм 4 прӧчент вылӧ подув тшупӧд серти чинӧм</t>
  </si>
  <si>
    <t>йӧзлӧн висьмӧм содӧм, демография серпас лёкмӧм, виччысяна оландыр чинӧм</t>
  </si>
  <si>
    <r>
      <t xml:space="preserve">ГП: чужигӧн виччысяна оландыр (во);
ПП1: верстьӧ йӧз пӧвстын тшӧгӧм паськалӧм  (морт сьӧкталӧн индекс 30 кг/кв.м вылӧ унджык) (тшӧгӧмӧн висьысь верстьӧ йӧзлӧн пай (морт сьӧкталӧн индекс 30 кг/кв.м. вылӧ унджык) олысьяслӧн став лыд серти) (прӧчентъясӧн);
ПП1: </t>
    </r>
    <r>
      <rPr>
        <sz val="16"/>
        <color indexed="18"/>
        <rFont val="Times New Roman"/>
        <family val="1"/>
      </rPr>
      <t xml:space="preserve">верстьӧ йӧз пӧвстын вир-яй слаба уджӧдӧм (верстьӧ йӧзлӧн пай, кодъяс пӧвстын тӧдчӧ вир-яй слаба уджӧдӧм, олысьяслӧн став лыд серти) (прӧчентъясӧн))
</t>
    </r>
  </si>
  <si>
    <t>4.</t>
  </si>
  <si>
    <r>
      <t xml:space="preserve">Шӧр мероприятие 1.0104: </t>
    </r>
    <r>
      <rPr>
        <sz val="14"/>
        <color indexed="18"/>
        <rFont val="Times New Roman"/>
        <family val="1"/>
      </rPr>
      <t xml:space="preserve">Коми Республикаын челядьӧс лёк привычкаӧ велалӧмысь видзан мераяс, челядь да ныв-зонпосни пӧвстын дзоньвидза оласног подув лӧсьӧдӧм
</t>
    </r>
  </si>
  <si>
    <t>челядь да томулов пӧвстын табак куритӧм 11,3 прӧчент вылӧ, алкоголя прӧдукция юӧмыс 21,6 прӧчент вылӧ чинӧм,  челядьлы  висьӧмъясысь видзан медицинскӧй осмотръяс нуӧдан тшупӧдсӧ 96,7 прӧчентӧдз, бать-мамтӧм челядьлы да пикӧ воӧм челядьлы диспансеризация нуӧдӧмсӧ 98,5 прӧчентӧдз, томуловъяслы 99,5 прӧчентӧдз воӧдӧм</t>
  </si>
  <si>
    <t>челядь да томулов пӧвстын висьмӧм содӧм, демография серпас лёкмӧм, виччысяна оландыр чинӧм</t>
  </si>
  <si>
    <t xml:space="preserve">ГП: алкоголя прӧдукция юӧм (абсолютнӧй алкоголь вылӧ артыштӧмӧн) (вонас  ӧти морт вылӧ литр);                    ГП: челядь да томулов пӧвстын табак куритӧм паськалӧм (100 олысь морт вылӧ случай)                                         ПП1: челядьлы  висьӧмъясысь видзан медицинскӧй осмотръяс нуӧдӧм (челядьлы профилактическӧй осмотръяс нуӧдігӧн видлалӧм челядь пай,  профилактическӧй осмотръяс быть нуӧдан лыд серт (прӧчентъясӧн)); 
ПП1: бать-мамтӧм челядьлы да пикӧ воӧм челядьлы диспансеризация нуӧдӧм (бать-мамтӧм челядьӧс да пикӧ воӧм челядьӧс видлалан пай, осмотръяс быть нуӧдан лыд серти) (прӧчентъясӧн));
ПП1: томуловлы диспансеризация нуӧдӧм (видлалӧм томулов пай осмотръяс быть нуӧдан лыд серти) (прӧчентъясӧн)
</t>
  </si>
  <si>
    <r>
      <t xml:space="preserve">2 мог. </t>
    </r>
    <r>
      <rPr>
        <i/>
        <sz val="16"/>
        <color indexed="18"/>
        <rFont val="Times New Roman"/>
        <family val="1"/>
      </rPr>
      <t>Йӧзлы, сы лыдын челядьлы, профилактическӧй осмотръяс да диспансеризация котыртӧмӧ дифференцируйтӧмӧн матыстчӧм збыльмӧдӧм</t>
    </r>
  </si>
  <si>
    <t>5.</t>
  </si>
  <si>
    <r>
      <t>Шӧр мероприятие 1.0201:  У</t>
    </r>
    <r>
      <rPr>
        <sz val="14"/>
        <color indexed="18"/>
        <rFont val="Times New Roman"/>
        <family val="1"/>
      </rPr>
      <t>часткӧвӧй служба, ӧтувъя (семейнӧй) практикаа врачлысь институт, домӧвӧй овмӧсъяс сӧвмӧдӧм</t>
    </r>
  </si>
  <si>
    <t xml:space="preserve">3,3 во вылӧ виччысяна оландыр содӧм, тӧдмалӧм I-II ст. лёк пыкӧсъясӧн висьысьяслӧн пай 9,2 прӧчент вылӧ содӧм, йӧзлы туберкулёзысь профилактическӧй осмотръяс нуӧдӧм 22,7 прӧчент вылӧ содӧм
</t>
  </si>
  <si>
    <t>карса да сиктса олысьяслы медицина отсӧг судзсянлун чинӧм, висьмӧм да кувсьӧм содӧм</t>
  </si>
  <si>
    <t>ГП: чужигӧн виччысяна оландыр (во);
ПП1: тӧдмалӧм I-II ст. лёк пыкӧсъясӧн висьысьяслӧн пай (тӧдмалӧм I-II ст. лёк пыкӧсъясӧн висьысьяслӧн пай тӧдмалӧм лёк пыкӧсъясӧн висьысьяслӧн став лыд серти) (прӧчентъясӧн);
ПП1: йӧзлы туберкулёзысь профилактическӧй осмотръяс нуӧдӧм (йӧзлӧн пай, кодъяслы нуӧдӧны туберкулёзысь профилактическӧй осмотръяс, профилактическӧй осмотръяс быть нуӧдан лыд серти) (прӧчентъясӧн)</t>
  </si>
  <si>
    <t>6.</t>
  </si>
  <si>
    <r>
      <t>Шӧр мероприятие 1.0202: Ӧ</t>
    </r>
    <r>
      <rPr>
        <sz val="14"/>
        <color indexed="8"/>
        <rFont val="Times New Roman"/>
        <family val="1"/>
      </rPr>
      <t>тувъя бурдӧдан везйын учреждениеяслысь ветлӧдлан уджсӧ, сы лыдын сиктса муниципалитеткостса шӧринъяслысь уджсӧ, бурмӧдӧм</t>
    </r>
  </si>
  <si>
    <t xml:space="preserve">подув тшупӧдысь туберкулёзӧн висьмӧм 20,9 прӧчент вылӧ чинӧм, 3,3 во вылӧ виччысяна оландыр содӧм, тӧдмалӧм I-II ст. лёк пыкӧсъясӧн висьысьяслӧн пай 9,2 прӧчент вылӧ содӧм, йӧзлы туберкулёзысь профилактическӧй осмотръяс нуӧдӧм 22,7 прӧчент вылӧ содӧм </t>
  </si>
  <si>
    <t>карса да сиктса олысьяслы медицина отсӧг судзсянлун чинтӧм, висьмӧм да кувсьӧм содӧм</t>
  </si>
  <si>
    <t>ГП: туберкулёзӧн висьмӧм (100 сюрс морт вылӧ случай);                                                                                     ГП: чужигӧн виччысяна оландыр (во);
ПП1: тӧдмалӧм I-II ст. лёк пыкӧсъясӧн висьысьяслӧн пай (тӧдмалӧм I-II ст. лёк пыкӧсъясӧн висьысьяслӧн пай тӧдмалӧм лёк пыкӧсъясӧн висьысьяслӧн став лыд серти) (прӧчентъясӧн);
ПП1: йӧзлы туберкулёзысь профилактическӧй осмотръяс нуӧдӧм (йӧзлӧн пай, кодъяслы нуӧдӧны туберкулёзысь профилактическӧй осмотръяс, профилактическӧй осмотръяс быть нуӧдан лыд серти) (прӧчентъясӧн)</t>
  </si>
  <si>
    <t>7.</t>
  </si>
  <si>
    <r>
      <t>Шӧр мероприятие 1.0203: М</t>
    </r>
    <r>
      <rPr>
        <sz val="14"/>
        <color indexed="18"/>
        <rFont val="Times New Roman"/>
        <family val="1"/>
      </rPr>
      <t>едицина организацияяслӧн кывкутана юкӧнъяс серти йӧзлысь ветлӧдлӧм бурмӧдӧм</t>
    </r>
  </si>
  <si>
    <t>8.</t>
  </si>
  <si>
    <t>Шӧр мероприятие 1.0204: Йӧзлысь дзоньвидзалун видзан учреждениеяслысь, кутшӧмъяс сетӧны медводдза медико-санитарнӧй отсӧг (ФАП-яслысь, карса поликлиникаяслысь, мутаскостса поликлиника шӧринъяслысь, консультируйтан да диагностируйтан шӧринъяслысь), удж бурмӧдӧм</t>
  </si>
  <si>
    <t>туберкулёзӧн висьмӧм 20,9 прӧчент вылӧ подув тшупӧд серти  чинӧм, дифтерияӧн да лятіӧн висьмӧм абутӧмлун, краснухаӧн да эпидемическӧй паротитӧн висьмӧм спорадическӧй висьман тшупӧдын кутӧм, ёна висьӧдан В гепатитӧн висьмӧм 2 пӧв чинӧм</t>
  </si>
  <si>
    <t>ГП: туберкулёзӧн висьмӧм (100 сюрс морт вылӧ случай);                                                                                           ГП: чужигӧн виччысяна оландыр (во);
ПП1: дифтерияӧн висьмӧм (100 сюрс морт вылӧ случай);
ПП1:лятіӧн висьмӧм (1 млн. морт вылӧ случай);
ПП1: краснухаӧн висьмӧм (100 сюрс морт вылӧ случай);
ПП1: эпидемическӧй паротитӧн висьмӧм (100 сюрс морт вылӧ случай);
ПП1: ёна висьӧдан В гепатитӧн висьмӧм (100 сюрс морт вылӧ случай)</t>
  </si>
  <si>
    <t>9.</t>
  </si>
  <si>
    <r>
      <t>Шӧр мероприятие 1.0205: Й</t>
    </r>
    <r>
      <rPr>
        <sz val="14"/>
        <color indexed="18"/>
        <rFont val="Times New Roman"/>
        <family val="1"/>
      </rPr>
      <t>ӧзлысь дзоньвидзалун видзан учреждениеяслӧн подув вылын, кутшӧмъяс сетӧны медводдза медико-санитарнӧй отсӧг, медицина отсӧглысь стационар вежан сикасъяс сӧвмӧдӧм</t>
    </r>
  </si>
  <si>
    <t>10.</t>
  </si>
  <si>
    <r>
      <t xml:space="preserve">Шӧр мероприятие 1.0206: </t>
    </r>
    <r>
      <rPr>
        <sz val="14"/>
        <color indexed="18"/>
        <rFont val="Times New Roman"/>
        <family val="1"/>
      </rPr>
      <t>Висьӧмысь видзан мераясын да медшӧр вуджтӧм хроническӧй висьӧмъяслысь лоны верманасӧ водз тӧдмалӧмын выль тэчас лӧсьӧдӧм</t>
    </r>
  </si>
  <si>
    <t>11.</t>
  </si>
  <si>
    <r>
      <t>Шӧр мероприятие 1.0207: В</t>
    </r>
    <r>
      <rPr>
        <sz val="14"/>
        <color indexed="18"/>
        <rFont val="Times New Roman"/>
        <family val="1"/>
      </rPr>
      <t>исьӧм мунӧмсӧ водз тӧдмалӧм могысь декретӧн урчитӧм арлыд серти чукӧръясӧн уна йӧза диспансеризация котыртӧм да нуӧдӧм</t>
    </r>
  </si>
  <si>
    <t xml:space="preserve">туберкулёзӧн висьмӧм 20,9 прӧчент вылӧ подув тшупӧд серти  чинӧм, 3,3 во вылӧ виччысяна оландыр содӧм, тӧдмалӧм I-II ст. лёк пыкӧсъясӧн висьысьяслӧн пай 9,2 прӧчент вылӧ содӧм, йӧзлы туберкулёзысь профилактическӧй осмотръяс нуӧдӧм 22,7 прӧчент вылӧ содӧм
</t>
  </si>
  <si>
    <t>ГП: туберкулёзӧн висьмӧм (100 сюрс морт вылӧ случай);                                                                                           ГП: чужигӧн виччысяна оландыр (во);
ПП1: тӧдмалӧм I-II ст. лёк пыкӧсъясӧн висьысьяслӧн пай (прӧчентъясӧн);
ПП1: йӧзлы туберкулёзысь профилактическӧй осмотръяс нуӧдӧм (йӧзлӧн пай, кодъяслы нуӧдӧны туберкулёзысь профилактическӧй осмотръяс, профилактическӧй осмотръяс быть нуӧдан лыд серти) (прӧчентъясӧн)</t>
  </si>
  <si>
    <t>12.</t>
  </si>
  <si>
    <r>
      <t xml:space="preserve">Шӧр мероприятие 1.0208: </t>
    </r>
    <r>
      <rPr>
        <sz val="14"/>
        <color indexed="18"/>
        <rFont val="Times New Roman"/>
        <family val="1"/>
      </rPr>
      <t>Коми Республикаса олысьяс пӧвстын, сы лыдын челядь пӧвстын, олӧм помавны кӧсъянлунысь видзан мераяс</t>
    </r>
  </si>
  <si>
    <t xml:space="preserve">3,3 во вылӧ виччысяна оландыр содӧм, асьтӧ виӧмысь кувсьӧм 21,2 прӧчент вылӧ чинӧм,  подув тшупӧд серти алкоголизмӧн висьысьяс пай, кодъясӧс во чӧжнас госпитализируйтісны выль пӧв, 11,3 прӧчент вылӧ ,  наркоманияӧн висьысьяс пай, кодъясӧс во чӧжнас госпитализируйтісны выль пӧв,14,4 прӧчент вылӧ чинӧм 
</t>
  </si>
  <si>
    <r>
      <t xml:space="preserve">ГП: чужигӧн виччысяна оландыр (во)
ПП1: </t>
    </r>
    <r>
      <rPr>
        <sz val="16"/>
        <color indexed="18"/>
        <rFont val="Times New Roman"/>
        <family val="1"/>
      </rPr>
      <t>асьтӧ виӧмысь кувсьӧм (100 сюрс морт вылӧ случай)</t>
    </r>
    <r>
      <rPr>
        <sz val="16"/>
        <rFont val="Times New Roman"/>
        <family val="1"/>
      </rPr>
      <t>;                                                                                        ПП1: тӧдмалӧм I-II ст. лёк пыкӧсъясӧн висьысьяслӧн пай (тӧдмалӧм I-II ст. лёк пыкӧсъясӧн висьысьяслӧн пай тӧдмалӧм лёк пыкӧсъясӧн висьысьяслӧн став лыд серти) (прӧчентъясӧн);
ПП1: наркоманияӧн висьысь пай, кодъясӧс во чӧжнас госпитализируйтісны выль пӧв (наркоманияӧн висьысь пай, кодъясӧс во чӧжнас госпитализируйтісны выль пӧв, наркоманияӧн висьысьяслӧн став лыд серти) (прӧчентъясӧн)</t>
    </r>
  </si>
  <si>
    <t>13.</t>
  </si>
  <si>
    <r>
      <t>Шӧр мероприятие 1.0209: Й</t>
    </r>
    <r>
      <rPr>
        <sz val="14"/>
        <color indexed="18"/>
        <rFont val="Times New Roman"/>
        <family val="1"/>
      </rPr>
      <t>ӧзлы медицина отсӧг сетӧм вылӧ условиеяс лӧсьӧдӧм (Россия Федерацияса йӧзлысь дзоньвидзалун видзан министерствоӧн вынсьӧдӧм пӧрадокъяс серти)</t>
    </r>
  </si>
  <si>
    <t xml:space="preserve">подув тшупӧдысь туберкулёзӧн висьмӧм 20,9 прӧчент вылӧ чинӧм, 3,3 во вылӧ виччысяна оландыр содӧм, тӧдмалӧм I-II ст. лёк пыкӧсъясӧн висьысьяслӧн пай 9,2 прӧчент вылӧ содӧм, йӧзлы туберкулёзысь профилактическӧй осмотръяс нуӧдӧм 22,7 прӧчент вылӧ содӧм
</t>
  </si>
  <si>
    <t xml:space="preserve">ГП: туберкулёзӧн висьмӧм (100 сюрс морт вылӧ случай) 
ГП: чужигӧн виччысяна оландыр (во)
ПП1: тӧдмалӧм I-II ст. лёк пыкӧсъясӧн висьысьяслӧн пай (тӧдмалӧм I-II ст. лёк пыкӧсъясӧн висьысьяслӧн пай тӧдмалӧм лёк пыкӧсъясӧн висьысьяслӧн став лыд серти) (прӧчентъясӧн);
ПП1: йӧзлы туберкулёзысь профилактическӧй осмотръяс нуӧдӧм (йӧзлӧн пай, кодъяслы нуӧдӧны туберкулёзысь профилактическӧй осмотръяс, профилактическӧй осмотръяс быть нуӧдан лыд серти) (прӧчентъясӧн)
</t>
  </si>
  <si>
    <t>14.</t>
  </si>
  <si>
    <r>
      <t>Шӧр мероприятие 1.0210: Й</t>
    </r>
    <r>
      <rPr>
        <sz val="16"/>
        <color indexed="18"/>
        <rFont val="Times New Roman"/>
        <family val="1"/>
      </rPr>
      <t>ӧзлысь дзоньвидзалун видзан объектъяс канму коланлун вылӧ стрӧитӧм да выльмӧдӧм</t>
    </r>
  </si>
  <si>
    <t>Министерство архитектуры, строительства и коммунального хозяйства Республики Коми</t>
  </si>
  <si>
    <r>
      <t xml:space="preserve">подув тшупӧдысь туберкулёзӧн висьмӧм 20,9 прӧчент вылӧ чинӧм, 3,3 во вылӧ виччысяна оландыр содӧм, тӧдмалӧм I-II ст. лёк пыкӧсъясӧн висьысьяслӧн пай 9,2 прӧчент вылӧ содӧм, йӧзлы туберкулёзысь профилактическӧй осмотръяс нуӧдӧм 22,7 прӧчент вылӧ содӧм; </t>
    </r>
    <r>
      <rPr>
        <sz val="16"/>
        <color indexed="18"/>
        <rFont val="Times New Roman"/>
        <family val="1"/>
      </rPr>
      <t xml:space="preserve">2016 вося ӧшым тӧлысь 31 лун кежлӧ “Чилимдін с.-ын 80 койка вылӧ бурдӧдан корпус стрӧитӧм”стрӧитан объект уджӧ пыртӧм
</t>
    </r>
  </si>
  <si>
    <t xml:space="preserve">ГП: туберкулёзӧн висьмӧм (100 сюрс морт вылӧ случай) 
ГП: чужигӧн виччысяна оландыр (во)
ПП1: тӧдмалӧм I-II ст. лёк пыкӧсъясӧн висьысьяслӧн пай (тӧдмалӧм I-II ст. лёк пыкӧсъясӧн висьысьяслӧн пай тӧдмалӧм лёк пыкӧсъясӧн висьысьяслӧн став лыд серти) (прӧчентъясӧн);
ПП1: йӧзлы туберкулёзысь профилактическӧй осмотръяс нуӧдӧм (йӧзлӧн пай, кодъяслы нуӧдӧны туберкулёзысь профилактическӧй осмотръяс, профилактическӧй осмотръяс быть нуӧдан лыд серти) (прӧчентъясӧн);                    ПП1: “Чилимдін с.-ын 80 койка вылӧ бурдӧдан корпус” стрӧитан объектлӧн техническӧй дасьлун серти прӧчент (прӧчентъясӧн)
</t>
  </si>
  <si>
    <r>
      <t xml:space="preserve">3 мог. </t>
    </r>
    <r>
      <rPr>
        <i/>
        <sz val="16"/>
        <color indexed="18"/>
        <rFont val="Times New Roman"/>
        <family val="1"/>
      </rPr>
      <t>Иммунопрофилактика методъясӧн ӧлӧдан вуджан висьӧмъяс чинтӧм</t>
    </r>
  </si>
  <si>
    <t>15.</t>
  </si>
  <si>
    <r>
      <t xml:space="preserve">Шӧр мероприятие 1.0301: </t>
    </r>
    <r>
      <rPr>
        <sz val="16"/>
        <color indexed="18"/>
        <rFont val="Times New Roman"/>
        <family val="1"/>
      </rPr>
      <t xml:space="preserve">Висьӧмысь видзан прививкаяслӧн национальнӧй календар серти йӧзлысь дзоньвидзалун ёнмӧдӧм кузя мероприятиеяс котыртӧм да нуӧдӧм
</t>
    </r>
  </si>
  <si>
    <t>3,3 во вылӧ виччысяна оландыр содӧм, декретӧн урчитӧм кадколастъясын дифтерияӧн, коклюшӧн да столбнякӧн, В гепатит вирусӧн, краснухаӧн, эпидемическӧй паротитӧн висьмӧмысь йӧзлысь дзоньвидзалун ёнмӧдӧм 95 прӧчентысь абу этшаджык тшупӧдын видзӧм</t>
  </si>
  <si>
    <t>иммунопрофилактика методъясӧн ӧлӧдан вуджан висьӧмъяслӧн содӧм</t>
  </si>
  <si>
    <t>ГП: чужигӧн виччысяна оландыр (во);
ПП1: декретӧн урчитӧм кадколастъясын дифтерияӧн, коклюшӧн да столбнякӧн висьмӧмысь йӧзлысь дзоньвидзалун ёнмӧдӧм (декретӧн урчитӧм кадколастъясын дифтерияӧн, коклюшӧн да столбнякӧн висьмӧмысь вакцина сюян йӧзлӧн пай, декретӧн урчитӧм кадколастъясын вакцина быть сюйысь лыд серти) (прӧчентъясӧн);
ПП1: декретӧн урчитӧм кадколастъясын В гепатит вирусӧн висьмӧмысь йӧзлысь дзоньвидзалун ёнмӧдӧм (декретӧн урчитӧм кадколастъясын В гепатит вирусӧн висьмӧмысь вакцина сюйысь йӧзлӧн пай декретӧн урчитӧм кадколастъясын вакцина быть сюйысь лыд серти) (прӧчентъясӧн);
ПП1: декретӧн урчитӧм кадколастъясын лятіӧн висьмӧмысь  йӧзлысь дзоньвидзалун ёнмӧдӧм (декретӧн урчитӧм кадколастъясын лятіӧн висьмӧмысь вакцина сюян йӧзлӧн пай декретӧн урчитӧм кадколастъясын вакцина быть сюйысь лыд серти) (прӧчентъясӧн);
ПП1: декретӧн урчитӧм кадколастъясын краснухаӧн висьмӧмысь  йӧзлысь дзоньвидзалун ёнмӧдӧм (декретӧн урчитӧм кадколастъясын краснухаӧн висьмӧмысь вакцина сюян йӧзлӧн пай декретӧн урчитӧм кадколастъясын вакцина быть сюйысь лыд серти) (прӧчентъясӧн);
ПП1: декретӧн урчитӧм кадколастъясын эпидемическӧй паротитӧн висьмӧмысь  йӧзлысь дзоньвидзалун ёнмӧдӧм (декретӧн урчитӧм кадколастъясын эпидемическӧй паротитӧн висьмӧмысь вакцина сюян йӧзлӧн пай декретӧн урчитӧм кадколастъясын вакцина быть сюйысь лыд серти) (прӧчентъясӧн)</t>
  </si>
  <si>
    <t>16.</t>
  </si>
  <si>
    <r>
      <t>Шӧр мероприятие 1.0302: Э</t>
    </r>
    <r>
      <rPr>
        <sz val="14"/>
        <color indexed="18"/>
        <rFont val="Times New Roman"/>
        <family val="1"/>
      </rPr>
      <t xml:space="preserve">пидемиологическӧй петкӧдчӧмъяс серти (туляремияысь, бешенство висьӧмысь, клещевӧй энцефалитысь) йӧзлысь дзоньвидзалун ёнмӧдӧм кузя мероприятиеяс котыртӧм да нуӧдӧм </t>
    </r>
  </si>
  <si>
    <t>3,3 во вылӧ виччысяна оландыр содӧм, туляремияӧн, бешенство висьӧмӧн, клещевӧй энцефалитӧн висьмӧм чинӧм</t>
  </si>
  <si>
    <t>туляремияӧн, бешенство висьӧмӧн, клещевӧй энцефалитӧн висьмӧм содӧм</t>
  </si>
  <si>
    <t xml:space="preserve">ГП: чужигӧн виччысяна оландыр (во);                                                                                                                        ПП1: декретӧн урчитӧм кадколастъясын В гепатит вирусӧн висьмӧмысь йӧзлысь дзоньвидзалун ёнмӧдӧм (декретӧн урчитӧм кадколастъясын В гепатит вирусӧн висьмӧмысь вакцина сюйысь йӧзлӧн пай декретӧн урчитӧм кадколастъясын вакцина быть сюйысь лыд серти) (прӧчентъясӧн);
</t>
  </si>
  <si>
    <t>17.</t>
  </si>
  <si>
    <r>
      <t>Шӧр мероприятие 1.0303: Й</t>
    </r>
    <r>
      <rPr>
        <sz val="14"/>
        <color indexed="18"/>
        <rFont val="Times New Roman"/>
        <family val="1"/>
      </rPr>
      <t xml:space="preserve">ӧзӧс юӧртан средствоясын йӧзӧс ёнмӧдӧмын коланлун йылысь юӧр сетан кампания котыртӧм да нуӧдӧм
</t>
    </r>
  </si>
  <si>
    <r>
      <t xml:space="preserve">4 мог. </t>
    </r>
    <r>
      <rPr>
        <i/>
        <sz val="16"/>
        <color indexed="18"/>
        <rFont val="Times New Roman"/>
        <family val="1"/>
      </rPr>
      <t>ВИЧ-инфекция, ёна висьӧдан В да С гепатитъяс, мукӧд вуджан висьӧм водз тӧдмалӧм котыртӧм бурмӧдӧм</t>
    </r>
  </si>
  <si>
    <t>18.</t>
  </si>
  <si>
    <r>
      <t xml:space="preserve">Шӧр мероприятие 1.0401: </t>
    </r>
    <r>
      <rPr>
        <sz val="14"/>
        <color indexed="18"/>
        <rFont val="Times New Roman"/>
        <family val="1"/>
      </rPr>
      <t xml:space="preserve">ВИЧ-инфекцияысь, В да С гепатитъясысь лӧсялана видзан мераяс йылысь йӧзлы юӧр сетӧм котыртӧм, сы лыдын йӧзӧс юӧртан средствояс пыр
</t>
    </r>
  </si>
  <si>
    <t>3,3 во вылӧ виччысяна оландыр содӧм, диспансер учёт вылын ВИЧ-инфекцияа йӧзлысь пай 85 прӧчентысь абу этшаджык тшупӧдын кутӧм</t>
  </si>
  <si>
    <t xml:space="preserve">ГП: чужигӧн виччысяна оландыр (во)
ПП1: тӧдмалӧм лыд серти диспансер учёт вылын ВИЧ-инфекцияа йӧзлӧн пай (прӧчентъясӧн)
</t>
  </si>
  <si>
    <t>19.</t>
  </si>
  <si>
    <r>
      <t xml:space="preserve">Шӧр мероприятие 1.0402: </t>
    </r>
    <r>
      <rPr>
        <sz val="14"/>
        <color indexed="18"/>
        <rFont val="Times New Roman"/>
        <family val="1"/>
      </rPr>
      <t xml:space="preserve">Коми Республика мутасын ВИЧ-инфекция паськалӧмысь эпидемиологическӧй дӧзьӧр нуӧдӧм
</t>
    </r>
  </si>
  <si>
    <t>20.</t>
  </si>
  <si>
    <r>
      <t xml:space="preserve">Шӧр мероприятие 1.0403: </t>
    </r>
    <r>
      <rPr>
        <sz val="14"/>
        <color indexed="18"/>
        <rFont val="Times New Roman"/>
        <family val="1"/>
      </rPr>
      <t xml:space="preserve">ВИЧ-инфекция, В да С гепатитъяс тӧдмалӧм могысь медицина боксянь видлалӧм котыртӧм да нуӧдӧм
</t>
    </r>
  </si>
  <si>
    <t>21.</t>
  </si>
  <si>
    <r>
      <t xml:space="preserve">Шӧр мероприятие 1.0404: </t>
    </r>
    <r>
      <rPr>
        <sz val="14"/>
        <color indexed="18"/>
        <rFont val="Times New Roman"/>
        <family val="1"/>
      </rPr>
      <t>ВИЧ-инфекция паськалӧмысь видзчысьӧм кузя мераяс збыльмӧдӧм вылӧ специалистъясӧс дасьтӧм</t>
    </r>
  </si>
  <si>
    <t>22.</t>
  </si>
  <si>
    <r>
      <t xml:space="preserve">Шӧр мероприятие 1.0405: </t>
    </r>
    <r>
      <rPr>
        <sz val="14"/>
        <color indexed="18"/>
        <rFont val="Times New Roman"/>
        <family val="1"/>
      </rPr>
      <t xml:space="preserve">ВИЧ-инфекция паськалӧмысь видзчысьӧм кузя войтыркостса уджтасъясӧ пырӧдчӧм
</t>
    </r>
  </si>
  <si>
    <t>23.</t>
  </si>
  <si>
    <r>
      <t>Шӧр мероприятие 1.0406: Й</t>
    </r>
    <r>
      <rPr>
        <sz val="14"/>
        <color indexed="18"/>
        <rFont val="Times New Roman"/>
        <family val="1"/>
      </rPr>
      <t>ӧзлысь дзоньвидзалун видзан канму учреждениеясын лабораторнӧй служба ёнмӧдӧм</t>
    </r>
  </si>
  <si>
    <r>
      <t>2 уджтасув. “</t>
    </r>
    <r>
      <rPr>
        <b/>
        <sz val="14"/>
        <color indexed="18"/>
        <rFont val="Times New Roman"/>
        <family val="1"/>
      </rPr>
      <t>Торъя, тшӧтш  вылыс  технологияа,  медицина отсӧг сетӧм, регыдъя, сы лыдын регыдъя специализируйтӧм, медицина отсӧг сетӧм, медицинскӧй эвакуация бурмӧдӧм”</t>
    </r>
  </si>
  <si>
    <r>
      <t xml:space="preserve">1 мог. </t>
    </r>
    <r>
      <rPr>
        <i/>
        <sz val="16"/>
        <color indexed="18"/>
        <rFont val="Times New Roman"/>
        <family val="1"/>
      </rPr>
      <t xml:space="preserve"> Туберкулёзӧн висьысьяслы медицина отсӧг сетан система бурмӧдӧм</t>
    </r>
  </si>
  <si>
    <t>24.</t>
  </si>
  <si>
    <r>
      <t>Шӧр мероприятие 2.0101</t>
    </r>
    <r>
      <rPr>
        <sz val="14"/>
        <rFont val="Times New Roman"/>
        <family val="1"/>
      </rPr>
      <t>: Т</t>
    </r>
    <r>
      <rPr>
        <sz val="14"/>
        <color indexed="18"/>
        <rFont val="Times New Roman"/>
        <family val="1"/>
      </rPr>
      <t>уберкулёз сӧвмӧмысь да паськалӧмысь видзан мераяс бурмӧдӧм</t>
    </r>
  </si>
  <si>
    <t>туберкулёзысь кувсьӧм 19,7 прӧчент вылӧ чинӧм, абациллированнӧй туберкулёзӧн висьысьяслӧн пай 55,8 прӧчентӧдз содӧм петан бактерияа туберкулёзӧн висьысьяс лыд серти</t>
  </si>
  <si>
    <t>демография серпас лёкмӧм, виччысяна оландыр чинӧм</t>
  </si>
  <si>
    <t xml:space="preserve">ГП: туберкулёзысь кувсьӧм (100 сюрс морт вылӧ случай);
ПП2: петан бактерияа туберкулёзӧн висьысьяс лыд серти абациллированнӧй туберкулёзӧн висьысьяслӧн пай (прӧчентъясӧн)
</t>
  </si>
  <si>
    <t>25.</t>
  </si>
  <si>
    <r>
      <t>Шӧр мероприятие 2.0102: Т</t>
    </r>
    <r>
      <rPr>
        <sz val="14"/>
        <color indexed="18"/>
        <rFont val="Times New Roman"/>
        <family val="1"/>
      </rPr>
      <t>уберкулёз водз тӧдмалӧм котыртӧм бурмӧдӧм, сы лыдын висьмыны вермана чукӧръясысь пациентъяс пӧвстын</t>
    </r>
  </si>
  <si>
    <t>26.</t>
  </si>
  <si>
    <r>
      <t>Шӧр мероприятие 2.0103: Ӧ</t>
    </r>
    <r>
      <rPr>
        <sz val="14"/>
        <color indexed="18"/>
        <rFont val="Times New Roman"/>
        <family val="1"/>
      </rPr>
      <t>тувъя бурдӧдан везйын туберкулёзӧн висьысьясӧс видзӧдана бурдӧдӧм котыртӧм (“Туберкулёзӧн висьысьяслы медицина отсӧг сетан пӧрадок вынсьӧдӧм йылысь” Россия Федерацияса йӧзлысь дзоньвидзалун видзан министерстволӧн 2012 во вӧльгым тӧлысь 15 лунся 932н №-а тшӧктӧд серти)</t>
    </r>
  </si>
  <si>
    <t>27.</t>
  </si>
  <si>
    <r>
      <t>Шӧр мероприятие 2.0104: Й</t>
    </r>
    <r>
      <rPr>
        <sz val="14"/>
        <color indexed="18"/>
        <rFont val="Times New Roman"/>
        <family val="1"/>
      </rPr>
      <t>ӧзлысь дзоньвидзалун видзан учреждениеяслысь, кутшӧмъяс сетӧны отсӧг туберкулёзӧн висьмӧмысь, материально-техническӧй подувсӧ бурмӧдӧм (“Туберкулёзӧн висьысьяслы медицина отсӧг сетан пӧрадок вынсьӧдӧм йылысь” Россия Федерацияса йӧзлысь дзоньвидзалун видзан министерстволӧн 2012 во вӧльгым тӧлысь 15 лунся 932н №-а тшӧктӧд серти)</t>
    </r>
  </si>
  <si>
    <t>28.</t>
  </si>
  <si>
    <r>
      <t>Шӧр мероприятие 2.0105: Б</t>
    </r>
    <r>
      <rPr>
        <sz val="14"/>
        <color indexed="18"/>
        <rFont val="Times New Roman"/>
        <family val="1"/>
      </rPr>
      <t>урдӧдчанінын висьмӧмысь да туберкулёзысь бурдӧдан службаса уджалысьяслӧн туберкулёзӧн висьман случайысь видзан мераяслысь системасӧ бурмӧдӧм</t>
    </r>
  </si>
  <si>
    <t>29.</t>
  </si>
  <si>
    <r>
      <t xml:space="preserve">Шӧр мероприятие 2.0106: </t>
    </r>
    <r>
      <rPr>
        <sz val="14"/>
        <rFont val="Times New Roman"/>
        <family val="1"/>
      </rPr>
      <t>Т</t>
    </r>
    <r>
      <rPr>
        <sz val="14"/>
        <color indexed="18"/>
        <rFont val="Times New Roman"/>
        <family val="1"/>
      </rPr>
      <t xml:space="preserve">уберкулёзӧн висьысьяслы медицина отсӧг бура да коставлытӧг сетӧм
</t>
    </r>
  </si>
  <si>
    <r>
      <t xml:space="preserve">2 мог. </t>
    </r>
    <r>
      <rPr>
        <sz val="16"/>
        <color indexed="18"/>
        <rFont val="Times New Roman"/>
        <family val="1"/>
      </rPr>
      <t>Мортлӧн иммунодефицит вирусӧн, В да С гепатитъясӧн висьмӧм йӧзлы медицина отсӧг сетӧм бурмӧдӧм</t>
    </r>
  </si>
  <si>
    <t>30.</t>
  </si>
  <si>
    <r>
      <t xml:space="preserve">Шӧр мероприятие 2.0201: </t>
    </r>
    <r>
      <rPr>
        <sz val="14"/>
        <color indexed="18"/>
        <rFont val="Times New Roman"/>
        <family val="1"/>
      </rPr>
      <t>ВИЧ-инфекция, В да С гепатитъяс паськалӧмысь видзан мераяс бурмӧдӧм</t>
    </r>
  </si>
  <si>
    <t>3,3 во вылӧ виччысяна оландыр содӧм, ВИЧ-инфекцияӧн висьмӧм йӧзлӧн пай, кодъяслы сетӧны антиретровируснӧй терапия, диспансер учёт вылын сулалысь лыд серти, подув тшупӧдысь 16 прӧчент вылӧ содӧм,   ВИЧ-инфекция йӧзлӧн, кодъяслы ӧнія стандартъяс серти сетӧны антиретровируснӧй терапия, виччысяна оландыр 5,3 во вылӧ содӧм</t>
  </si>
  <si>
    <t>ГП: чужигӧн виччысяна оландыр (во);
ПП2: ВИЧ-инфекцияӧн висьмӧм йӧзлӧн пай, кодъяслы сетӧны антиретровируснӧй терапия, диспансер учёт вылын сулалысь лыд серти (прӧчентъясӧн);
ПП2: ВИЧ-инфекцияӧн висьысьяслӧн виччысяна оландыр, кодъяслы ӧнія стандартъяс серти сетӧны антиретровируснӧй терапия (во)</t>
  </si>
  <si>
    <t>31.</t>
  </si>
  <si>
    <r>
      <t xml:space="preserve">Шӧр мероприятие 2.0202: </t>
    </r>
    <r>
      <rPr>
        <sz val="14"/>
        <color indexed="18"/>
        <rFont val="Times New Roman"/>
        <family val="1"/>
      </rPr>
      <t>ВИЧ-инфекция, В да С гепатитъяс водз тӧдмалӧм котыртӧмсӧ бурмӧдӧм</t>
    </r>
  </si>
  <si>
    <t>3,3 во вылӧ виччысяна оландыр содӧм, ВИЧ-инфекцияӧн висьмӧм йӧзлӧн пай, кодъяслы сетӧны антиретровируснӧй терапия, диспансер учёт вылын сулалысь лыд серти, подув тшупӧдысь 16 прӧчент вылӧ содӧм, ВИЧ-инфекция йӧзлӧн, кодъяслы ӧнія стандартъяс серти сетӧны антиретровируснӧй терапия, виччысяна оландыр 5,3 во вылӧ содӧм</t>
  </si>
  <si>
    <t>32.</t>
  </si>
  <si>
    <r>
      <t>Шӧр мероприятие 2.0203: Й</t>
    </r>
    <r>
      <rPr>
        <sz val="14"/>
        <color indexed="18"/>
        <rFont val="Times New Roman"/>
        <family val="1"/>
      </rPr>
      <t>ӧзлысь дзоньвидзалун видзан учреждениелысь, кутшӧм сетӧ ВИЧ-инфекцияӧн да мукӧд вуджан висьӧмӧн нёрпалысьяслы медицина отсӧг, материально-техническӧй подувсӧ бурмӧдӧм («Мортлӧн иммунодефицит вирусӧн (ВИЧ-инфекцияӧн) кыпӧдӧм висьӧмӧн нёрпалігӧн верстьӧ йӧзлы медицина отсӧг сетан пӧрадок вынсьӧдӧм йылысь» Россия Федерацияса йӧзлысь дзоньвидзалун видзан министерстволӧн 2012 во вӧльгым тӧлысь 8 лунся 689н №-а тшӧктӧд серти)</t>
    </r>
  </si>
  <si>
    <t>33.</t>
  </si>
  <si>
    <r>
      <t>Шӧр мероприятие 2.0204:</t>
    </r>
    <r>
      <rPr>
        <sz val="14"/>
        <rFont val="Times New Roman"/>
        <family val="1"/>
      </rPr>
      <t xml:space="preserve"> </t>
    </r>
    <r>
      <rPr>
        <sz val="14"/>
        <color indexed="18"/>
        <rFont val="Times New Roman"/>
        <family val="1"/>
      </rPr>
      <t xml:space="preserve">ВИЧ-инфекция, В да С гепатитъяс вылӧ йӧзӧс видлалӧм кузя, а сідзжӧ ВИЧ-инфекцияӧн, В да С гепатитъясӧн висьысьяслы медицина отсӧг сетӧмын мероприятиеяс коставлытӧг да бура нуӧдӧм могмӧдӧм
</t>
    </r>
  </si>
  <si>
    <t>3 мог. Наркология висьысьяслы медицина отсӧг сетӧм бурмӧдӧм</t>
  </si>
  <si>
    <t>34.</t>
  </si>
  <si>
    <r>
      <t xml:space="preserve">Шӧр мероприятие 2.0301: </t>
    </r>
    <r>
      <rPr>
        <sz val="14"/>
        <rFont val="Times New Roman"/>
        <family val="1"/>
      </rPr>
      <t>А</t>
    </r>
    <r>
      <rPr>
        <sz val="14"/>
        <color indexed="18"/>
        <rFont val="Times New Roman"/>
        <family val="1"/>
      </rPr>
      <t>лкоголь вывті уна юӧм, табак ёна куритӧм да наркомания сӧвмӧмысь видзан мераяс бурмӧдӧм</t>
    </r>
  </si>
  <si>
    <t>алкоголя прӧдукция юӧм 21,6 прӧчент вылӧ подув тшупӧд серти чинӧм,  наркология висьысь лыд, кодъяс лоӧны 1 восянь 2 воӧдз ремиссияын, 12 прӧчент вылӧ, 2 воысь унджык ремиссияын 59,7 прӧчент вылӧ, алкоголизмӧн  висьысь лыд, кодъяс лоӧны 1 восянь 2 воӧдз ремиссияын, 8,3 прӧчент вылӧ, 2 воысь унджык ремиссияын 8 прӧчент вылӧ ыдждӧм</t>
  </si>
  <si>
    <t>ГП: алкоголя прӧдукция юӧм (абсолютнӧй алкоголь вылӧ артыштӧмӧн) (вонас  ӧти морт вылӧ литр);
ПП2: 1 восянь 2 воӧдз ремиссияын наркология висьысьяслӧн пай наркология висьысьяслӧн став лыд серти (прӧчентъясӧн);
ПП2:  2 воысь унджык ремиссияын наркология висьысьяслӧн пай наркология висьысьяслӧн став лыд серти (прӧчентъясӧн);
ПП2:  1 восянь 2 воӧдз ремиссияын алкоголизмӧн висьысьяслӧн пай алкоголизмӧн висьысьяслӧн став лыд серти (прӧчентъясӧн);
ПП2: 2 воысь унджык ремиссияын алкоголизмӧн  висьысьяслӧн пай алкоголизмӧн висьысьяслӧн став лыд серти (прӧчентъясӧн)</t>
  </si>
  <si>
    <t>35.</t>
  </si>
  <si>
    <r>
      <t>Шӧр мероприятие 2.0302:А</t>
    </r>
    <r>
      <rPr>
        <sz val="14"/>
        <color indexed="18"/>
        <rFont val="Times New Roman"/>
        <family val="1"/>
      </rPr>
      <t>лкоголь вывті уна юӧм, табак ёна куритӧм, наркомания водз тӧдмалӧм бурмӧдӧм</t>
    </r>
  </si>
  <si>
    <r>
      <t xml:space="preserve"> алкоголя прӧдукция юӧм 21,6 прӧчент вылӧ </t>
    </r>
    <r>
      <rPr>
        <sz val="16"/>
        <rFont val="Times New Roman"/>
        <family val="1"/>
      </rPr>
      <t xml:space="preserve">подув тшупӧд серти </t>
    </r>
    <r>
      <rPr>
        <sz val="16"/>
        <rFont val="Times New Roman"/>
        <family val="1"/>
      </rPr>
      <t xml:space="preserve">чинӧм,  </t>
    </r>
    <r>
      <rPr>
        <sz val="16"/>
        <color indexed="18"/>
        <rFont val="Times New Roman"/>
        <family val="1"/>
      </rPr>
      <t xml:space="preserve">наркология висьысь лыд, кодъяс лоӧны </t>
    </r>
    <r>
      <rPr>
        <sz val="16"/>
        <color indexed="18"/>
        <rFont val="Times New Roman"/>
        <family val="1"/>
      </rPr>
      <t xml:space="preserve">1 восянь 2 воӧдз ремиссияын, 12 прӧчент вылӧ, 2 воысь унджык ремиссияын 59,7 прӧчент вылӧ, алкоголизмӧн  висьысь лыд, кодъяс лоӧны </t>
    </r>
    <r>
      <rPr>
        <sz val="16"/>
        <color indexed="18"/>
        <rFont val="Times New Roman"/>
        <family val="1"/>
      </rPr>
      <t>1 восянь 2 воӧдз ремиссияын, 8,3 прӧчент вылӧ, 2 воысь унджык ремиссияын 8 прӧчент вылӧ</t>
    </r>
    <r>
      <rPr>
        <sz val="16"/>
        <color indexed="18"/>
        <rFont val="Times New Roman"/>
        <family val="1"/>
      </rPr>
      <t xml:space="preserve"> ыдждӧм   </t>
    </r>
  </si>
  <si>
    <t>36.</t>
  </si>
  <si>
    <r>
      <t xml:space="preserve">Шӧр мероприятие 2.0303: Диспансернӧй </t>
    </r>
    <r>
      <rPr>
        <sz val="14"/>
        <color indexed="18"/>
        <rFont val="Times New Roman"/>
        <family val="1"/>
      </rPr>
      <t>йӧз чукӧрлы, кодъяс бӧрся водзті видзӧдісны да найӧ водзӧ олӧны ютӧг, ӧлӧдан мероприятиеяс нуӧдӧм</t>
    </r>
  </si>
  <si>
    <t>37.</t>
  </si>
  <si>
    <r>
      <t>Шӧр мероприятие 2.0304: Н</t>
    </r>
    <r>
      <rPr>
        <sz val="14"/>
        <color indexed="18"/>
        <rFont val="Times New Roman"/>
        <family val="1"/>
      </rPr>
      <t>аркология висьысьяслы реабилитируйтан отсӧг сетӧм бурмӧдӧм</t>
    </r>
  </si>
  <si>
    <t>38.</t>
  </si>
  <si>
    <r>
      <t>Шӧр мероприятие 2.0305: Й</t>
    </r>
    <r>
      <rPr>
        <sz val="14"/>
        <color indexed="18"/>
        <rFont val="Times New Roman"/>
        <family val="1"/>
      </rPr>
      <t xml:space="preserve">ӧзлысь дзоньвидзалун видзан учреждениеяслысь, кутшӧмъяс сетӧны йӧзлы наркология отсӧг, материально-техническӧй подувнысӧ бурмӧдӧм («Наркология» профиль кузя медицина отсӧг сетан пӧрадок вынсьӧдӧм йылысь» Россия Федерацияса йӧзлысь дзоньвидзалун видзан министерстволӧн 2012 во вӧльгым тӧлысь 15 лунся 929н №-а тшӧктӧд серти)
</t>
    </r>
  </si>
  <si>
    <t>39.</t>
  </si>
  <si>
    <r>
      <t>Шӧр мероприятие 2.0306: Н</t>
    </r>
    <r>
      <rPr>
        <sz val="14"/>
        <color indexed="18"/>
        <rFont val="Times New Roman"/>
        <family val="1"/>
      </rPr>
      <t xml:space="preserve">аркология висьысьяслы, сы лыдын ворсӧм вӧля улӧ пырӧмаяслы, медицина отсӧг сетан юалӧмъяс кузя медицина персоналлысь уджсикасын тӧдӧмлунъяс да кужӧмлунъяс паськӧдӧм
</t>
    </r>
  </si>
  <si>
    <r>
      <t xml:space="preserve">4 мог. </t>
    </r>
    <r>
      <rPr>
        <i/>
        <sz val="14"/>
        <color indexed="18"/>
        <rFont val="Times New Roman"/>
        <family val="1"/>
      </rPr>
      <t>Психикаын торксьӧмъясӧн да оласногын торксьӧмъясӧн  висьысьяслы медицина отсӧг сетӧм бурмӧдӧм</t>
    </r>
  </si>
  <si>
    <t>40.</t>
  </si>
  <si>
    <r>
      <t>Шӧр мероприятие 2.0401: Й</t>
    </r>
    <r>
      <rPr>
        <sz val="14"/>
        <color indexed="8"/>
        <rFont val="Times New Roman"/>
        <family val="1"/>
      </rPr>
      <t>ӧзлысь дзоньвидзалун видзан учреждениеяслысь, кутшӧмъяс сетӧны йӧзлы психиатрическӧй отсӧг, материально-техническӧй подувсӧ бурмӧдӧм (“Психика торксигӧн да оласног торксигӧн медицина отсӧг сетан пӧрадок вынсьӧдӧм йылысь” Россия Федерацияса йӧзлысь дзоньвидзалун видзан да йӧзлы отсӧг сетан министерстволӧн 2012 во ода-кора тӧлысь 17 лунся 566н №-а тшӧктӧд серти)</t>
    </r>
  </si>
  <si>
    <t>3,3 во вылӧ виччысяна оландыр содӧм, психикаын торксьӧмъясӧн висьысьяслысь пай, кодъясӧс во чӧжӧн госпитализируйтісны выль пӧв, 9,7 прӧчент вылӧ подув тшупӧд серти чинӧм</t>
  </si>
  <si>
    <t xml:space="preserve">ГП: чужигӧн виччысяна оландыр (во);
ПП2:  во чӧжӧн психикаын торксьӧмъясӧн выль пӧв госпитализируйтан висьысьяслӧн пай психикаын торксьӧмъясӧн висьысьяслӧн став лыд серти (прӧчентъясӧн)
</t>
  </si>
  <si>
    <t>41.</t>
  </si>
  <si>
    <r>
      <t xml:space="preserve">Шӧр мероприятие 2.0402: </t>
    </r>
    <r>
      <rPr>
        <sz val="14"/>
        <color indexed="8"/>
        <rFont val="Times New Roman"/>
        <family val="1"/>
      </rPr>
      <t>Психикаын торксьӧмъяс дырйи висьӧмысь ӧлӧдан, найӧс диагностируйтан, бурдӧдан да реабилитируйтан методъяс бурмӧдӧм</t>
    </r>
  </si>
  <si>
    <t>3,3 во вылӧ виччысяна оландыр содӧм, психикаын торксьӧмъясӧн висьысьяслысь пай, кодъясӧс во чӧжӧн госпитализируйтісны выль пӧв, 9,7 прӧчент вылӧ подув тшупӧд серти чинтӧм</t>
  </si>
  <si>
    <t>42.</t>
  </si>
  <si>
    <r>
      <t>Шӧр мероприятие 2.0403: П</t>
    </r>
    <r>
      <rPr>
        <sz val="14"/>
        <color indexed="8"/>
        <rFont val="Times New Roman"/>
        <family val="1"/>
      </rPr>
      <t>сихиатрическӧй висьысьяслы амбулаторнӧя медицина отсӧг котыртӧм бурмӧдӧм</t>
    </r>
  </si>
  <si>
    <t>43.</t>
  </si>
  <si>
    <r>
      <t>Шӧр мероприятие 2.0404: П</t>
    </r>
    <r>
      <rPr>
        <sz val="14"/>
        <color indexed="8"/>
        <rFont val="Times New Roman"/>
        <family val="1"/>
      </rPr>
      <t xml:space="preserve">сихиатрическӧй учреждениеяслысь куйлан фондсӧ бурмӧдӧм, мый урчитӧ стационар вежан технологияяс  пыртӧм да амбулаторнӧй удж юкӧн бурмӧдӧм
</t>
    </r>
  </si>
  <si>
    <r>
      <t xml:space="preserve">5 мог. </t>
    </r>
    <r>
      <rPr>
        <i/>
        <sz val="16"/>
        <color indexed="18"/>
        <rFont val="Times New Roman"/>
        <family val="1"/>
      </rPr>
      <t>Сӧн висьӧмъясӧн висьысьяслы медицина отсӧг сетӧм бурмӧдӧм</t>
    </r>
  </si>
  <si>
    <t>44.</t>
  </si>
  <si>
    <r>
      <t>Шӧр мероприятие 2.0501: С</t>
    </r>
    <r>
      <rPr>
        <sz val="14"/>
        <color indexed="8"/>
        <rFont val="Times New Roman"/>
        <family val="1"/>
      </rPr>
      <t>ьӧлӧм-сӧн висьӧмъяс сӧвмӧмысь ӧлӧдӧм бурмӧдӧм</t>
    </r>
  </si>
  <si>
    <r>
      <t xml:space="preserve">подув тшупӧдъяс серти вир висьӧмъясысь 11,6 прӧчент вылӧ, </t>
    </r>
    <r>
      <rPr>
        <sz val="16"/>
        <color indexed="18"/>
        <rFont val="Times New Roman"/>
        <family val="1"/>
      </rPr>
      <t xml:space="preserve">сьӧлӧмлӧн ишемическӧй висьӧмысь 0,2 прӧчент вылӧ, цереброваскулярнӧй висьӧмъясысь 5,7 прӧчент вылӧ </t>
    </r>
    <r>
      <rPr>
        <sz val="16"/>
        <rFont val="Times New Roman"/>
        <family val="1"/>
      </rPr>
      <t xml:space="preserve">кувсян тшупӧд </t>
    </r>
    <r>
      <rPr>
        <sz val="16"/>
        <rFont val="Times New Roman"/>
        <family val="1"/>
      </rPr>
      <t>чинӧм</t>
    </r>
  </si>
  <si>
    <t>сьӧлӧм-сӧн патология дырйи висьмӧм да кувсьӧм содӧм</t>
  </si>
  <si>
    <t>ГП: вир висьӧмъясысь кувсьӧм (100 сюрс морт вылӧ случай);
ПП2: сьӧлӧмлӧн ишемическӧй висьӧмысь кувсьӧм (100 сюрс олысь вылӧ случай);
ПП2: цереброваскулярнӧй висьӧмъясысь кувсьӧм (100 сюрс олысь вылӧ случай)</t>
  </si>
  <si>
    <t>45.</t>
  </si>
  <si>
    <r>
      <t>Шӧр мероприятие 2.0502: А</t>
    </r>
    <r>
      <rPr>
        <sz val="14"/>
        <color indexed="8"/>
        <rFont val="Times New Roman"/>
        <family val="1"/>
      </rPr>
      <t>мбулаторнӧй условиеясын сӧн висьӧмъяс водз тӧдмалӧм бурмӧдӧм</t>
    </r>
  </si>
  <si>
    <t>подув тшупӧдъяс серти вир висьӧмъясысь 11,6 прӧчент вылӧ, сьӧлӧмлӧн ишемическӧй висьӧмысь 0,2 прӧчент вылӧ, цереброваскулярнӧй висьӧмъясысь 5,7 прӧчент вылӧ кувсян тшупӧд чинӧм</t>
  </si>
  <si>
    <t>46.</t>
  </si>
  <si>
    <r>
      <t>Шӧр мероприятие 2.0503: С</t>
    </r>
    <r>
      <rPr>
        <sz val="14"/>
        <color indexed="8"/>
        <rFont val="Times New Roman"/>
        <family val="1"/>
      </rPr>
      <t>ӧн висьӧмъяс дырйи висьӧмысь ӧлӧдан, найӧс диагностируйтан, бурдӧдан да реабилитируйтан методъяс бурмӧдӧм</t>
    </r>
  </si>
  <si>
    <t>47.</t>
  </si>
  <si>
    <r>
      <t>Шӧр мероприятие 2.0504: С</t>
    </r>
    <r>
      <rPr>
        <sz val="14"/>
        <color indexed="8"/>
        <rFont val="Times New Roman"/>
        <family val="1"/>
      </rPr>
      <t>ьӧлӧм-сӧн висьӧмъясӧн висьысьяслы медицина отсӧг сетӧмын, тшӧтш висьӧмъяссӧ водз тӧдмалӧмын, медицинаын уджалысьяслысь уджсикасын тӧдӧмлунъяс да кужӧмлунъяс паськӧдӧм</t>
    </r>
  </si>
  <si>
    <t>48.</t>
  </si>
  <si>
    <r>
      <t>Шӧр мероприятие 2.0505: Й</t>
    </r>
    <r>
      <rPr>
        <sz val="14"/>
        <color indexed="8"/>
        <rFont val="Times New Roman"/>
        <family val="1"/>
      </rPr>
      <t xml:space="preserve">ӧзлысь дзоньвидзалун видзан учреждениеяслысь, кутшӧмъяс сетӧны сьӧлӧм-сӧн висьӧмъясӧн нёрпалысьяслы медицина отсӧг, материально-техническӧй подувсӧ бурмӧдӧм («Сьӧлӧм-сӧн висьӧмъясӧн висьысьяслы медицина отсӧг сетан пӧрадок вынсьӧдӧм йылысь» Россия Федерацияса йӧзлысь дзоньвидзалун видзан министерстволӧн 2012 во вӧльгым тӧлысь 15 лунся 918н №-а тшӧктӧд серти)
</t>
    </r>
  </si>
  <si>
    <t xml:space="preserve">сьӧлӧм-сӧн патология дырйи медицина отсӧг сетан качество да судзсянлун чинӧм </t>
  </si>
  <si>
    <r>
      <t xml:space="preserve">6 мог. </t>
    </r>
    <r>
      <rPr>
        <i/>
        <sz val="14"/>
        <color indexed="18"/>
        <rFont val="Times New Roman"/>
        <family val="1"/>
      </rPr>
      <t>Пыкӧс висьӧмъясӧн висьысьяслы медицина отсӧг сетӧм бурмӧдӧм</t>
    </r>
  </si>
  <si>
    <t>49.</t>
  </si>
  <si>
    <r>
      <t>Шӧр мероприятие 2.0601:О</t>
    </r>
    <r>
      <rPr>
        <sz val="14"/>
        <color indexed="8"/>
        <rFont val="Times New Roman"/>
        <family val="1"/>
      </rPr>
      <t>нкология висьӧмъясысь ӧлӧдӧм бурмӧдӧм</t>
    </r>
  </si>
  <si>
    <t>пыкӧсъясысь кувсян тшупӧд 1,7 прӧчент вылӧ чинӧм, 5 во да унджык диагноз пуктӧмсянь учёт вылын сулалысь лёк пыкӧсъясӧн висьысьяслӧн удельнӧй сьӧкта 3,3 прӧчент вылӧ содӧм, лёк пыкӧсъясӧн висьысьяслӧн ӧти воӧн кувсьӧм 15 прӧчент вылӧ чинӧм</t>
  </si>
  <si>
    <t xml:space="preserve">пыкӧсъяс, сы лыдын лёк пыкӧсъяс дырйи висьмӧм да кувсьӧм содӧм </t>
  </si>
  <si>
    <t>ГП: пыкӧсъяс (сы лыдын лёк пыкӧсъяс) артмӧмысь кувсьӧм (100 сюрс морт вылӧ случай);
ПП2:  5 во да унджык диагноз пуктӧмсянь учёт вылын сулалысь лёк пыкӧсъясӧн висьысьяслӧн удельнӧй сьӧкта лёк пыкӧсъясӧн висьысьяслӧн став лыд серти (прӧчентъясӧн);
ПП2:  лёк пыкӧсъясӧн висьысьяслӧн ӧти воӧн кувсьӧм (лёк пыкӧсъясӧн висьысьяслӧн пай, кодъяс кувсисны лёк пыкӧсӧн висьӧм диагноз пуктӧм бӧрын медводдза во чӧжӧн,  лёк пыкӧсъясысь кувсьӧм висьысьяслӧн став лыд серти) (прӧчентъясӧн)</t>
  </si>
  <si>
    <t>50.</t>
  </si>
  <si>
    <r>
      <t>Шӧр мероприятие 2.0602: А</t>
    </r>
    <r>
      <rPr>
        <sz val="14"/>
        <color indexed="8"/>
        <rFont val="Times New Roman"/>
        <family val="1"/>
      </rPr>
      <t>мбулаторнӧй условиеясын онкология висьӧмъяс водз тӧдмалӧм бурмӧдӧм</t>
    </r>
  </si>
  <si>
    <t>51.</t>
  </si>
  <si>
    <r>
      <t>Шӧр мероприятие 2.0603: О</t>
    </r>
    <r>
      <rPr>
        <sz val="14"/>
        <color indexed="8"/>
        <rFont val="Times New Roman"/>
        <family val="1"/>
      </rPr>
      <t>нкология висьӧмъяс дырйи висьӧмысь ӧлӧдан, найӧс диагностируйтан, бурдӧдан да реабилитируйтан методъяс бурмӧдӧм</t>
    </r>
  </si>
  <si>
    <t>52.</t>
  </si>
  <si>
    <r>
      <t>Шӧр мероприятие 2.0604: О</t>
    </r>
    <r>
      <rPr>
        <sz val="14"/>
        <color indexed="8"/>
        <rFont val="Times New Roman"/>
        <family val="1"/>
      </rPr>
      <t>нкология висьӧмъясӧн висьысьяслы медицина отсӧг сетӧмын, тшӧтш индӧм висьӧмъяссӧ водз тӧдмалӧмын, медицинаын уджалысьяслысь уджсикасын тӧдӧмлунъяс да кужӧмлунъяс паськӧдӧм</t>
    </r>
  </si>
  <si>
    <t>53.</t>
  </si>
  <si>
    <r>
      <t>Шӧр мероприятие 2.0605: Й</t>
    </r>
    <r>
      <rPr>
        <sz val="14"/>
        <color indexed="8"/>
        <rFont val="Times New Roman"/>
        <family val="1"/>
      </rPr>
      <t xml:space="preserve">ӧзлысь дзоньвидзалун видзан учреждениеяслысь, кутшӧмъяс тшӧтш сетӧны медицина онкология висьӧмъясӧн висьысьяслы, материально-техническӧй подувсӧ бурмӧдӧм (“Верстьӧ олысьяслы “онкология” профиль серти медицина отсӧг сетан пӧрадок вынсьӧдӧм йылысь” Россия Федерацияса йӧзлысь дзоньвидзалун видзан министерстволӧн 2012 во вӧльгым тӧлысь 15 лунся 915н №-а тшӧктӧд серти)
</t>
    </r>
  </si>
  <si>
    <t>пыкӧсъяс, сы лыдын лёк пыкӧсъяс дырйи медицина отсӧг сетан качество да судзсянлун чинӧм</t>
  </si>
  <si>
    <t>54.</t>
  </si>
  <si>
    <r>
      <t>Шӧр мероприятие 2.0606: Й</t>
    </r>
    <r>
      <rPr>
        <sz val="14"/>
        <color indexed="8"/>
        <rFont val="Times New Roman"/>
        <family val="1"/>
      </rPr>
      <t>ӧзлысь дзоньвидзалун видзан объектъяс канму коланлун вылӧ стрӧитӧм да выльмӧдӧм</t>
    </r>
  </si>
  <si>
    <t>пыкӧсъясысь кувсян тшупӧд 1,7 прӧчент вылӧ чинӧм, 5 во да унджык диагноз пуктӧмсянь учёт вылын сулалысь лёк пыкӧсъясӧн висьысьяслӧн удельнӧй сьӧкта 3,3 прӧчент вылӧ содӧм, лёк пыкӧсъясӧн висьысьяслӧн ӧти воӧн кувсьӧм 15 прӧчент вылӧ чинӧм; 2016 вося ӧшым тӧлысь 31 лун кежлӧ “Сыктывкарын Гараж ул. Коми республиканскӧй онкология диспансерлысь радиологическӧй отделение выльмӧдӧм”  объект уджӧ пыртӧм</t>
  </si>
  <si>
    <t xml:space="preserve">пыкӧсъяс, сы лыдын лёк пыкӧсъяс дырйи медицина отсӧг сетан качество да судзсянлун чинӧм </t>
  </si>
  <si>
    <t>ГП: пыкӧсъяс (сы лыдын лёк пыкӧсъяс) артмӧмысь кувсьӧм (100 сюрс морт вылӧ случай);                                     ПП2: “Сыктывкарын Гараж улича вылын меститчӧм Коми республиканскӧй онкология диспансерлысь радиология отделение выльмӧдӧм” объектлӧн техническӧй дасьлун серти прӧчент (прӧчентъясӧн);
ПП2:  5 во да унджык диагноз пуктӧмсянь учёт вылын сулалысь лёк пыкӧсъясӧн висьысьяслӧн удельнӧй сьӧкта лёк пыкӧсъясӧн висьысьяслӧн став лыд серти (прӧчентъясӧн);
ПП2:  лёк пыкӧсъясӧн висьысьяслӧн ӧти воӧн кувсьӧм (лёк пыкӧсъясӧн висьысьяслӧн пай, кодъяс кувсисны лёк пыкӧсӧн висьӧм диагноз пуктӧм бӧрын медводдза во чӧжӧн,  лёк пыкӧсъясысь кувсьӧм висьысьяслӧн став лыд серти) (прӧчентъясӧн)</t>
  </si>
  <si>
    <r>
      <t xml:space="preserve">7 мог. </t>
    </r>
    <r>
      <rPr>
        <i/>
        <sz val="16"/>
        <color indexed="18"/>
        <rFont val="Times New Roman"/>
        <family val="1"/>
      </rPr>
      <t>Регыдъя, сы лыдын регыдъя специализируйтӧм, медицина отсӧг сетӧм, медицинскӧй эвакуация бурмӧдӧм</t>
    </r>
  </si>
  <si>
    <t>55.</t>
  </si>
  <si>
    <r>
      <t>Шӧр мероприятие 2.0701: Э</t>
    </r>
    <r>
      <rPr>
        <sz val="14"/>
        <color indexed="8"/>
        <rFont val="Times New Roman"/>
        <family val="1"/>
      </rPr>
      <t>новтны позьтӧм отсӧг сетан юкӧнъяс котыртӧм (Коми Республикаса йӧзлысь дзоньвидзалун видзан канму учреждениеяслӧн подув вылын)</t>
    </r>
  </si>
  <si>
    <t>туй вылын транспорт лоӧмторъясысь кувсьӧм 38,7 прӧчент вылӧ подув тшупӧд серти чинӧм, висьысь дорӧдз корӧмсянь 20 минутысь этшаджык воан кадӧн регыдъя медицина отсӧг сетан бригадаяслӧн ветлан пай 95 прӧчент тшупӧдӧдз ыдждӧдӧм</t>
  </si>
  <si>
    <t xml:space="preserve">ГП: туй вылын транспортлӧн лоӧмторъясысь кувсьӧм (100 сюрс морт вылӧ случай);
ПП2: висьысь дорӧдз корӧмсянь 20 минутысь этшаджык воан кадӧн регыдъя медицина отсӧг сетан бригадаяслӧн ветлан пай регыдъя медицина отсӧг сетан бригадаяслӧн став ветлӧм серти (прӧчентъясӧн)
</t>
  </si>
  <si>
    <t>56.</t>
  </si>
  <si>
    <r>
      <t>Шӧр мероприятие 2.0702:  Р</t>
    </r>
    <r>
      <rPr>
        <sz val="14"/>
        <color indexed="8"/>
        <rFont val="Times New Roman"/>
        <family val="1"/>
      </rPr>
      <t>егыдъя медицина отсӧг службалысь уджсӧ бурмӧдӧм («Регыдъя медицина отсӧг сетан пӧрадок вынсьӧдӧм йылысь» Россия Федерацияса йӧзлысь дзоньвидзалун видзан да йӧзлы отсӧг сетан министерстволӧн 2004 во вӧльгым тӧлысь 1 лунся 179 №-а тшӧктӧд серти)</t>
    </r>
  </si>
  <si>
    <t>57.</t>
  </si>
  <si>
    <r>
      <t xml:space="preserve">Шӧр мероприятие 2.0703: </t>
    </r>
    <r>
      <rPr>
        <sz val="14"/>
        <color indexed="8"/>
        <rFont val="Times New Roman"/>
        <family val="1"/>
      </rPr>
      <t>Коми Республикаса санитарнӧй авиация службалысь уджсӧ бурмӧдӧм</t>
    </r>
  </si>
  <si>
    <t>58.</t>
  </si>
  <si>
    <r>
      <t>Шӧр мероприятие 2.0704: М</t>
    </r>
    <r>
      <rPr>
        <sz val="14"/>
        <color indexed="8"/>
        <rFont val="Times New Roman"/>
        <family val="1"/>
      </rPr>
      <t xml:space="preserve">ирнӧй да война кадӧ виччысьтӧмторъяс лоигӧн коставлытӧг уджалӧм вылӧ йӧзлысь дзоньвидзалун видзан учреждениеяслы условиеяс лӧсьӧдӧм
</t>
    </r>
  </si>
  <si>
    <r>
      <t xml:space="preserve">8 мог. </t>
    </r>
    <r>
      <rPr>
        <sz val="16"/>
        <color indexed="8"/>
        <rFont val="Times New Roman"/>
        <family val="1"/>
      </rPr>
      <t>Туй вылын транспорт лоӧмторъясӧ веськалысьяслы медицина отсӧг сетӧм бурмӧдӧм</t>
    </r>
  </si>
  <si>
    <t>59.</t>
  </si>
  <si>
    <r>
      <t>Шӧр мероприятие 2.0801: Неминучаӧ веськалӧмалы р</t>
    </r>
    <r>
      <rPr>
        <sz val="16"/>
        <color indexed="8"/>
        <rFont val="Times New Roman"/>
        <family val="1"/>
      </rPr>
      <t>еспубликанскӧй медицина отсӧг сетан шӧрин подув вылын 3 туйбердса ветлӧдлан медицина пункт котыртӧм</t>
    </r>
  </si>
  <si>
    <t>туй вылын транспорт лоӧмторъясысь кувсьӧм 38,7 прӧчент вылӧ подув тшупӧд серти чинӧм, туй вылын транспорт лоӧмторъясӧ веськалысьяслӧн больничаясын кувсьӧм 0,01 прӧчентысь абу вылынджык тшупӧдӧдз чинтӧм туй вылын транспорт лоӧмторъясӧ веськалысьяслӧн стационарӧ воан лыд серти</t>
  </si>
  <si>
    <t>ГП: туй вылын транспортлӧн лоӧмторъясысь кувсьӧм (100 сюрс морт вылӧ случай);
ПП2: туй вылын транспорт лоӧмторъясӧ веськалысьяслӧн больничаясын кувсьӧм (туй вылын транспорт лоӧмторъясӧ веськалӧм пациентъяслӧн стационарын кувсян пай стационарӧ воӧм став лыд серти) (прӧчентъясӧн)</t>
  </si>
  <si>
    <t>60.</t>
  </si>
  <si>
    <r>
      <t xml:space="preserve">Шӧр мероприятие 2.0802: </t>
    </r>
    <r>
      <rPr>
        <sz val="14"/>
        <color indexed="8"/>
        <rFont val="Times New Roman"/>
        <family val="1"/>
      </rPr>
      <t>Коми Республика мутасын федеральнӧй да дінмуса автомашина туйяс пӧлӧн травматология шӧринъяслысь система котыртӧм</t>
    </r>
  </si>
  <si>
    <t>61.</t>
  </si>
  <si>
    <r>
      <t xml:space="preserve">Шӧр мероприятие 2.0803: </t>
    </r>
    <r>
      <rPr>
        <sz val="14"/>
        <color indexed="8"/>
        <rFont val="Times New Roman"/>
        <family val="1"/>
      </rPr>
      <t>Виччысьтӧмторъясысь ӧлӧдан да найӧс бырӧдан ӧтувъя 112 системалӧн вынӧн да средствоясӧн ӧтувъя удж вылӧ регыдъя медицина отсӧг сетан юкӧдувъяслысь диспетчерскӧй служба могмӧдӧм</t>
    </r>
  </si>
  <si>
    <t>62.</t>
  </si>
  <si>
    <r>
      <t>Шӧр мероприятие 2.0804: В</t>
    </r>
    <r>
      <rPr>
        <sz val="14"/>
        <color indexed="8"/>
        <rFont val="Times New Roman"/>
        <family val="1"/>
      </rPr>
      <t xml:space="preserve">рачьясӧс да шӧр медицинскӧй персоналӧс, мездан службаса (Россия Федерацияса войтырӧс доръян, виччысьтӧмторйысь видзан да ускӧттьӧ бӧрын лоӧмтор бырӧдан министерствоса, сы лыдын Россия Федерацияса войтырӧс доръян, виччысьтӧмторйысь видзан да ускӧттьӧ бӧрын лоӧмтор бырӧдан Коми Республикаын медшӧр веськӧдланінса, Россия Федерацияса пытшкӧс делӧяс министерстволӧн Туй вылын лёк суӧмысь видзан канму инспекцияса) уджалысьясӧс Катастрофаяс кузя медицина школалӧн подув вылын медводдза отсӧг сетан уджтас кузя уджысь орӧдчывтӧг велӧдан система котыртӧм
</t>
    </r>
  </si>
  <si>
    <r>
      <t xml:space="preserve">9 мог. </t>
    </r>
    <r>
      <rPr>
        <i/>
        <sz val="16"/>
        <color indexed="18"/>
        <rFont val="Times New Roman"/>
        <family val="1"/>
      </rPr>
      <t>Мукӧд висьӧмӧн нёрпалысьяслы медицина отсӧг сетӧм бурмӧдӧм</t>
    </r>
  </si>
  <si>
    <t>63.</t>
  </si>
  <si>
    <r>
      <t>Шӧр мероприятие 2.0901: С</t>
    </r>
    <r>
      <rPr>
        <sz val="14"/>
        <color indexed="8"/>
        <rFont val="Times New Roman"/>
        <family val="1"/>
      </rPr>
      <t>тационарнӧй медицина отсӧг сӧвмӧдӧм</t>
    </r>
  </si>
  <si>
    <t>уна помкаысь кувсьӧм 13,7 прӧчент вылӧ подув тшупӧдысь чинӧм</t>
  </si>
  <si>
    <t>ПП2: уна помкаысь кувсьӧм (1 сюрс олысь вылӧ случай)</t>
  </si>
  <si>
    <t>64.</t>
  </si>
  <si>
    <r>
      <t>Шӧр мероприятие 2.0902: С</t>
    </r>
    <r>
      <rPr>
        <sz val="14"/>
        <color indexed="8"/>
        <rFont val="Times New Roman"/>
        <family val="1"/>
      </rPr>
      <t>тационар вежан технологияяс сӧвмӧдӧм</t>
    </r>
  </si>
  <si>
    <t>65.</t>
  </si>
  <si>
    <r>
      <t>Шӧр мероприятие 2.0903:М</t>
    </r>
    <r>
      <rPr>
        <sz val="14"/>
        <color indexed="8"/>
        <rFont val="Times New Roman"/>
        <family val="1"/>
      </rPr>
      <t>едицина отсӧг сетан пӧрадокъяс да стандартъяс пыртӧм вылӧ условиеяс лӧсьӧдӧм</t>
    </r>
  </si>
  <si>
    <t>66.</t>
  </si>
  <si>
    <r>
      <t>Шӧр мероприятие 2.0904: М</t>
    </r>
    <r>
      <rPr>
        <sz val="14"/>
        <color indexed="8"/>
        <rFont val="Times New Roman"/>
        <family val="1"/>
      </rPr>
      <t>едицина организацияясын маршрутизация служба лӧсьӧдӧм, коді кывкутӧ бурдӧдчанінысь петӧм висьысьясӧс дзикӧдз бурдӧдӧм да реабилитируйтӧм котыртӧм вӧсна, а сідзжӧ выль медицина технологияяс пыртӧм</t>
    </r>
  </si>
  <si>
    <t>йӧзлӧн вермытӧмлун тшупӧд содӧм, демография серпас лёкмӧм, виччысяна оландыр чинӧм</t>
  </si>
  <si>
    <t>67.</t>
  </si>
  <si>
    <r>
      <t>Шӧр мероприятие 2.0905: Й</t>
    </r>
    <r>
      <rPr>
        <sz val="14"/>
        <color indexed="8"/>
        <rFont val="Times New Roman"/>
        <family val="1"/>
      </rPr>
      <t>ӧзлысь дзоньвидзалун видзан объектъяс канму коланлун вылӧ стрӧитӧм да выльмӧдӧм</t>
    </r>
  </si>
  <si>
    <t>уна помкаысь кувсьӧм 13,7 прӧчент вылӧ подув тшупӧдысь чинӧм;2014 вося ӧшым тӧлысь 31 лун кежлӧ “Сыктывкарын йӧзлысь дзоньвидзалун видзан республиканскӧй объектъяс дорӧ кислород нюжӧдӧм (“Кардиологическӧй диспансер” КР КУ да “Республиканскӧй инфекционнӧй больнича” КР КСЗУ)” объект уджӧ пыртӧм</t>
  </si>
  <si>
    <t>Коми Республикаса йӧзлы медицина отсӧг сетан качество да судзсянлун чинтӧм</t>
  </si>
  <si>
    <t>ПП2: уна помкаысь кувсьӧм (1 сюрс олысь вылӧ случай);                                                                                          ПП2: “Сыктывкарын республиканскӧй инфекционнӧй больнича выльмӧдӧм”  объектлӧн техническӧй дасьлун серти прӧчент (прӧчентъясӧн);                                                                                                                              ПП2: “Сыктывкарын йӧзлысь дзоньвидзалун видзан республиканскӧй объектъяс дорӧ кислород нюжӧдӧм (“Кардиологическӧй диспансер” КР КУ да “Республиканскӧй инфекционнӧй больнича” КР ЗКСУ)” объектлӧн техническӧй дасьлун серти прӧчент / объект уджӧ пыртӧм (прӧчентъясӧн)</t>
  </si>
  <si>
    <r>
      <t xml:space="preserve">10 мог. </t>
    </r>
    <r>
      <rPr>
        <i/>
        <sz val="14"/>
        <color indexed="18"/>
        <rFont val="Times New Roman"/>
        <family val="1"/>
      </rPr>
      <t>Вылыс технологияа медицина отсӧг сетӧм бурмӧдӧм, бурдӧдӧмын выль бур методъяс сӧвмӧдӧм</t>
    </r>
  </si>
  <si>
    <t>68.</t>
  </si>
  <si>
    <r>
      <t xml:space="preserve">Шӧр мероприятие 2.1001: </t>
    </r>
    <r>
      <rPr>
        <sz val="14"/>
        <color indexed="8"/>
        <rFont val="Times New Roman"/>
        <family val="1"/>
      </rPr>
      <t>Коми Республикаса йӧзлысь дзоньвидзалун видзан канму учреждениеяс подув вылын вылыс технологияа медицина отсӧг сетӧм котыртӧм</t>
    </r>
  </si>
  <si>
    <t xml:space="preserve">3,3 во вылӧ виччысяна оландыр содӧм, вылыс технологияа медицина отсӧг сетӧмын йӧзлысь коланлун тшупӧдсӧ 90 прӧчентӧдз кыпӧдӧм </t>
  </si>
  <si>
    <t xml:space="preserve">ГП: чужигӧн виччысяна оландыр (во);
ПП2: вылыс технологияа медицина отсӧг сетӧмын йӧзлысь коланлунсӧ могмӧдӧм (вылыс технологияа медицина отсӧг босьтысь пациентъяслӧн пай став нуждайтчысь лыд серти) (прӧчентъясӧн)
</t>
  </si>
  <si>
    <t>69.</t>
  </si>
  <si>
    <r>
      <t xml:space="preserve">Шӧр мероприятие 2.1002: </t>
    </r>
    <r>
      <rPr>
        <sz val="14"/>
        <color indexed="8"/>
        <rFont val="Times New Roman"/>
        <family val="1"/>
      </rPr>
      <t xml:space="preserve">Федеральнӧй медицина учреждениеяс подув вылын вылыс технологияа медицина отсӧг сетӧм котыртӧм
</t>
    </r>
  </si>
  <si>
    <t>3,3 во вылӧ виччысяна оландыр содӧм, вылыс технологияа медицина отсӧг сетӧмын йӧзлысь коланлун тшупӧдсӧ 90 прӧчентӧдз кыпӧдӧм</t>
  </si>
  <si>
    <t>70.</t>
  </si>
  <si>
    <r>
      <t xml:space="preserve">Шӧр мероприятие 2.1003: </t>
    </r>
    <r>
      <rPr>
        <sz val="14"/>
        <color indexed="8"/>
        <rFont val="Times New Roman"/>
        <family val="1"/>
      </rPr>
      <t>2014 во чӧжӧн медицинскӧя быть страхуйтан системаӧ паськыда тиражируйтӧм вылыс технологияа медицина отсӧг сетан торъя сикасъяс вуджӧдӧм котыртӧм</t>
    </r>
  </si>
  <si>
    <t>71.</t>
  </si>
  <si>
    <t xml:space="preserve">Шӧр мероприятие 2.1004: 2015 вося тӧвшӧр тӧлысь 1 лунсянь  вылыс (вывті дона) медицина технологияяс отсӧгӧн медицина отсӧг сетӧм медицинскӧя быть страхуйтан системаӧ вуджӧдӧм котыртӧм
</t>
  </si>
  <si>
    <r>
      <t xml:space="preserve">11 мог. </t>
    </r>
    <r>
      <rPr>
        <i/>
        <sz val="14"/>
        <color indexed="18"/>
        <rFont val="Times New Roman"/>
        <family val="1"/>
      </rPr>
      <t>Вир служба сӧвмӧдӧм</t>
    </r>
  </si>
  <si>
    <t>72.</t>
  </si>
  <si>
    <r>
      <t>Шӧр мероприятие 2.1101: В</t>
    </r>
    <r>
      <rPr>
        <sz val="14"/>
        <color indexed="8"/>
        <rFont val="Times New Roman"/>
        <family val="1"/>
      </rPr>
      <t>ир да сылысь юкӧнъяссӧ сетӧм сӧвмӧдӧм, сійӧс котыртӧм бурмӧдӧм</t>
    </r>
  </si>
  <si>
    <t xml:space="preserve">3,3 во вылӧ виччысяна оландыр содӧм, вир босьтан станциялысь лыд, кодъяс могмӧдӧны вир компонентъяслӧн  качестволы да видзчысянлунлы ӧнія тшупӧд, 100 прӧчентӧдз воӧдӧм  </t>
  </si>
  <si>
    <t xml:space="preserve">ГП: чужигӧн виччысяна оландыр (во);
ПП2: вир босьтан станцияяслӧн пай, кодъяс могмӧдӧны вир компонентъяслӧн  качестволы да видзчысянлунлы ӧнія тшупӧд, вир босьтан станцияяслӧн став лыд серти (прӧчентъясӧн)
</t>
  </si>
  <si>
    <t>73.</t>
  </si>
  <si>
    <r>
      <t>Шӧр мероприятие 2.1102: С</t>
    </r>
    <r>
      <rPr>
        <sz val="14"/>
        <color indexed="8"/>
        <rFont val="Times New Roman"/>
        <family val="1"/>
      </rPr>
      <t>етӧм вир лӧсьӧдӧм, выльмӧдӧм, видзӧм да нуӧм вылӧ да торъя юкӧнъяс вӧчӧм вылӧ вир служба бур оборудованиеӧн да видзан материалъясӧн могмӧдӧм</t>
    </r>
  </si>
  <si>
    <t>3,3 во вылӧ виччысяна оландыр содӧм, вир босьтан станциялысь лыд, кодъяс могмӧдӧны вир компонентъяслӧн  качестволы да видзчысянлунлы ӧнія тшупӧд, 100 прӧчентӧдз воӧдӧм</t>
  </si>
  <si>
    <t>74.</t>
  </si>
  <si>
    <r>
      <t>Шӧр мероприятие 2.1103: В</t>
    </r>
    <r>
      <rPr>
        <sz val="14"/>
        <color indexed="8"/>
        <rFont val="Times New Roman"/>
        <family val="1"/>
      </rPr>
      <t>ир да сылысь торъя юкӧнъяссӧ вирусъясысь видзӧм могмӧдан бур система лӧсьӧдӧм</t>
    </r>
  </si>
  <si>
    <t>75.</t>
  </si>
  <si>
    <r>
      <t>Шӧр мероприятие 2.1104: В</t>
    </r>
    <r>
      <rPr>
        <sz val="14"/>
        <color indexed="8"/>
        <rFont val="Times New Roman"/>
        <family val="1"/>
      </rPr>
      <t>ир служба учреждениеяслысь материально-техническӧй подувсӧ бурмӧдӧм</t>
    </r>
  </si>
  <si>
    <t>76.</t>
  </si>
  <si>
    <r>
      <t>Шӧр мероприятие 2.1105: В</t>
    </r>
    <r>
      <rPr>
        <sz val="14"/>
        <color indexed="8"/>
        <rFont val="Times New Roman"/>
        <family val="1"/>
      </rPr>
      <t xml:space="preserve">ир службаын удж котыртӧмын, юӧртӧмын да донъялӧмын ӧнія системаяс пыртӧм, кадръяс дасьтӧм
</t>
    </r>
  </si>
  <si>
    <t>“Мамлысь да кагалысь дзоньвидзалун видзӧм” 3 уджтасув</t>
  </si>
  <si>
    <r>
      <t xml:space="preserve"> 1 мог. </t>
    </r>
    <r>
      <rPr>
        <i/>
        <sz val="16"/>
        <color indexed="18"/>
        <rFont val="Times New Roman"/>
        <family val="1"/>
      </rPr>
      <t>Кага чужтан да кага быдмандыр службаын  медицина отсӧг сетан куим тшупӧда система бурмӧдӧм</t>
    </r>
  </si>
  <si>
    <t>77.</t>
  </si>
  <si>
    <r>
      <t xml:space="preserve">Шӧр мероприятие 3.0101: </t>
    </r>
    <r>
      <rPr>
        <sz val="11"/>
        <color indexed="18"/>
        <rFont val="Times New Roman"/>
        <family val="1"/>
      </rPr>
      <t>“</t>
    </r>
    <r>
      <rPr>
        <sz val="14"/>
        <color indexed="18"/>
        <rFont val="Times New Roman"/>
        <family val="1"/>
      </rPr>
      <t>Коми республиканскӧй перинатальнӧй шӧрин” Коми Республикаса йӧзлысь дзоньвидзалун видзан канму сьӧмкуд учреждениелысь уджсӧ бурмӧдӧм</t>
    </r>
  </si>
  <si>
    <t>мамлысь кувсьӧм 2,4 прӧчент вылӧ чинтӧм, кадысь водз кага вайӧм нывбабаяслысь пай, кодъяс кага вайӧны  перинатальнӧй шӧринъясын, 85 абу этшаджык тшупӧдӧдз кыпӧдӧм</t>
  </si>
  <si>
    <t>кага чужтан да кага быдмандыр службаын медицина отсӧг сетан качество да судзсянлун чинӧм</t>
  </si>
  <si>
    <t xml:space="preserve">ГП: мамлӧн кувсьӧм (ловйӧн чужӧм 100 сюрс кага вылӧ случай);                                                                     
ПП3: кадысь водз кага вайӧм нывбабаяслӧн пай, кодъяс кага вайӧны  перинатальнӧй шӧринъясын,  кадысь водз кага вайӧм нывбабаяслӧн став лыд серти (прӧчентъясӧн)
</t>
  </si>
  <si>
    <t>78.</t>
  </si>
  <si>
    <r>
      <t xml:space="preserve">Шӧр мероприятие 3.0102: </t>
    </r>
    <r>
      <rPr>
        <sz val="11"/>
        <color indexed="18"/>
        <rFont val="Times New Roman"/>
        <family val="1"/>
      </rPr>
      <t>“</t>
    </r>
    <r>
      <rPr>
        <sz val="14"/>
        <color indexed="8"/>
        <rFont val="Times New Roman"/>
        <family val="1"/>
      </rPr>
      <t xml:space="preserve">Ухтаса мутасъяслӧн </t>
    </r>
    <r>
      <rPr>
        <sz val="14"/>
        <color indexed="18"/>
        <rFont val="Times New Roman"/>
        <family val="1"/>
      </rPr>
      <t>кага чужтан керка” Коми Республикаса йӧзлысь дзоньвидзалун видзан канму сьӧмкуд учреждениелысь уджсӧ выль ног котыртӧм</t>
    </r>
  </si>
  <si>
    <t>79.</t>
  </si>
  <si>
    <r>
      <t>Шӧр мероприятие 3.0103: П</t>
    </r>
    <r>
      <rPr>
        <sz val="14"/>
        <color indexed="18"/>
        <rFont val="Times New Roman"/>
        <family val="1"/>
      </rPr>
      <t>еринатальнӧй отсӧг котыртан куим тшупӧда системаын нӧбасьысьяслысь, кага чужтысьяслысь да пузчужӧм кагаяслысь ветлан туйсӧ бурмӧдӧм</t>
    </r>
  </si>
  <si>
    <t>80.</t>
  </si>
  <si>
    <r>
      <t>Шӧр мероприятие 3.0104: Т</t>
    </r>
    <r>
      <rPr>
        <sz val="14"/>
        <color indexed="18"/>
        <rFont val="Times New Roman"/>
        <family val="1"/>
      </rPr>
      <t>уйӧ петан анестезиолого-реанимационнӧй акушерскӧй да неонатальнӧй бригадаясӧн ылісянь консультируйтан шӧринлысь уджсӧ бурмӧдӧм</t>
    </r>
  </si>
  <si>
    <t xml:space="preserve"> ловйӧн чужӧм 1000 кага вылӧ  пузчужӧм кагаяслысь кувсьӧм 5,4 тшупӧдӧдз чинтӧм, кадысь водз кага вайӧм нывбабаяслысь пай, кодъяс кага вайӧны  перинатальнӧй шӧринъясын, 85 абу этшаджык тшупӧдӧдз кыпӧдӧм</t>
  </si>
  <si>
    <t xml:space="preserve">ГП:  пузчужӧм кагалӧн кувсьӧм (ловъяӧн чужӧм 1000 кага вылӧ случай);                                                                 ПП3: кадысь водз кага вайӧм нывбабаяслӧн пай, кодъяс кага вайӧны  перинатальнӧй шӧринъясын,  кадысь водз кага вайӧм нывбабаяслӧн став лыд серти (прӧчентъясӧн)
</t>
  </si>
  <si>
    <t>81.</t>
  </si>
  <si>
    <r>
      <t>Шӧр мероприятие 3.0105: П</t>
    </r>
    <r>
      <rPr>
        <sz val="14"/>
        <color indexed="18"/>
        <rFont val="Times New Roman"/>
        <family val="1"/>
      </rPr>
      <t>еринатальнӧй шӧрин подув вылын пузчужӧм кагаяслы содтӧд реанимация да интенсивнӧй терапия койкаяс котыртӧм, кутшӧмъясӧс могмӧдӧма ӧнія вылыс технологияа оборудованиеӧн</t>
    </r>
  </si>
  <si>
    <t>ловйӧн чужӧм 1000 кага вылӧ  пузчужӧм кагаяслысь кувсьӧм 5,4 тшупӧдӧдз чинтӧм, кадысь водз кага вайӧм нывбабаяслысь пай, кодъяс кага вайӧны  перинатальнӧй шӧринъясын, 85 абу этшаджык тшупӧдӧдз кыпӧдӧм</t>
  </si>
  <si>
    <t xml:space="preserve">ГП:  пузчужӧм кагалӧн кувсьӧм (ловъяӧн чужӧм 1000 кага вылӧ случай);                                                                 
ПП3: кадысь водз кага вайӧм нывбабаяслӧн пай, кодъяс кага вайӧны  перинатальнӧй шӧринъясын,  кадысь водз кага вайӧм нывбабаяслӧн став лыд серти (прӧчентъясӧн)
</t>
  </si>
  <si>
    <t>82.</t>
  </si>
  <si>
    <r>
      <t>Шӧр мероприятие 3.0106: Й</t>
    </r>
    <r>
      <rPr>
        <sz val="14"/>
        <color indexed="18"/>
        <rFont val="Times New Roman"/>
        <family val="1"/>
      </rPr>
      <t xml:space="preserve">ӧзлысь дзоньвидзалун видзан учреждениеяслысь, кутшӧмъяс сетӧны «акушерство да гинекология» специальносьт кузя медицина отсӧг, удж котыртӧм (Акушерство да гинекология отсӧг сетан пӧрадок серти, мый вынсьӧдӧма Россия Федерацияса йӧзлысь дзоньвидзалун видзан министерстволӧн 2012 во вӧльгым тӧлысь 1 лунся 572н №-а тшӧктӧдӧн)
</t>
    </r>
  </si>
  <si>
    <t xml:space="preserve">мамъяслысь кувсьӧм 2,4 прӧчент вылӧ чинтӧм,
ловйӧн чужӧм 1000 кага вылӧ  пузчужӧм кагаяслысь кувсьӧм 5,4 тшупӧдӧдз чинтӧм, 
кага сӧвмӧмын торкӧмъяс комплекснӧй пренатальнӧй (чужтӧдзыс) тӧдмалӧмын выль алгоритм кузя прӧверитӧм нӧбасьысь нывбабаяслысь пай 74 прӧчентысь абу этшаджык тшупӧдӧдз кыпӧдӧм нӧбасян медводдза триместрын учёт вылӧ сувтӧдӧм лыд серти 
кадысь водз кага вайӧм нывбабаяслысь пай, кодъяс кага вайӧны  перинатальнӧй шӧринъясын, 85 абу этшаджык тшупӧдӧдз кыпӧдӧм
</t>
  </si>
  <si>
    <t xml:space="preserve">ГП: мамлӧн кувсьӧм (ловйӧн чужӧм 100 сюрс кага вылӧ случай);                                                                      ПП3: кага сӧвмӧмын торкӧмъяс комплекснӧй пренатальнӧй (чужтӧдзыс) тӧдмалӧмын выль алгоритм кузя видлалӧм нӧбасьысь нывбабаяслӧн пай нӧбасян медводдза триместрын учёт вылӧ сувтӧдӧм став лыд серти (прӧчентъясӧн)
</t>
  </si>
  <si>
    <t>83.</t>
  </si>
  <si>
    <r>
      <t>Шӧр мероприятие 3.0107: Й</t>
    </r>
    <r>
      <rPr>
        <sz val="14"/>
        <color indexed="18"/>
        <rFont val="Times New Roman"/>
        <family val="1"/>
      </rPr>
      <t>ӧзлысь дзоньвидзалун видзан объектъяс канму коланлун вылӧ стрӧитӧм да выльмӧдӧм</t>
    </r>
  </si>
  <si>
    <t xml:space="preserve">мамъяслысь кувсьӧм 2,4 прӧчент вылӧ чинтӧм,
ловйӧн чужӧм 1000 кага вылӧ  пузчужӧм кагаяслысь кувсьӧм 5,4 тшупӧдӧдз чинтӧм
кага сӧвмӧмын торкӧмъяс комплекснӧй пренатальнӧй (чужтӧдзыс) тӧдмалӧмын выль алгоритм кузя прӧверитӧм нӧбасьысь нывбабаяслысь пай 74 прӧчентысь абу этшаджык тшупӧдӧдз кыпӧдӧм нӧбасян медводдза триместрын учёт вылӧ сувтӧдӧм лыд серти 
кадысь водз кага вайӧм нывбабаяслысь пай, кодъяс кага вайӧны  перинатальнӧй шӧринъясын, 85 абу этшаджык тшупӧдӧдз кыпӧдӧм; 2014 вося ӧшым тӧлысь 31 лун кежлӧ “Коми республиканскӧй перинатальнӧй шӧрин” КР ЗКСУ медшӧр корпус бердӧ стрӧйба” объект стрӧитӧм вылӧ бала документация дасьтӧм
</t>
  </si>
  <si>
    <t xml:space="preserve">ГП: мамлӧн кувсьӧм (ловйӧн чужӧм 100 сюрс кага вылӧ случай);                                                                     ПП3: кага сӧвмӧмын торкӧмъяс комплекснӧй пренатальнӧй (чужтӧдзыс) тӧдмалӧмын выль алгоритм кузя видлалӧм нӧбасьысь нывбабаяслӧн пай нӧбасян медводдза триместрын учёт вылӧ сувтӧдӧм став лыд серти (прӧчентъясӧн);                                                                                                                                                               ПП3: “Коми республиканскӧй перинатальнӧй шӧрин” КР ЗКСУ медшӧр корпус бердӧ стрӧйба” объект стрӧитӧм вылӧ бала документациялӧн дасьлун тшупӧд (прӧчентъясӧн)
</t>
  </si>
  <si>
    <r>
      <t xml:space="preserve">2 мог. </t>
    </r>
    <r>
      <rPr>
        <i/>
        <sz val="14"/>
        <color indexed="18"/>
        <rFont val="Times New Roman"/>
        <family val="1"/>
      </rPr>
      <t>Кага сӧвмӧмын торкӧмъяс водз тӧдмалан да бурмӧдан система лӧсьӧдӧм</t>
    </r>
  </si>
  <si>
    <t>84.</t>
  </si>
  <si>
    <r>
      <t>Шӧр мероприятие 3.0201: К</t>
    </r>
    <r>
      <rPr>
        <sz val="14"/>
        <color indexed="18"/>
        <rFont val="Times New Roman"/>
        <family val="1"/>
      </rPr>
      <t xml:space="preserve">ага сӧвмӧмын торкӧмъяс перинатальнӧй (чужтӧдзыс) тӧдмалӧм бурмӧдӧм
</t>
    </r>
  </si>
  <si>
    <t>ловйӧн чужӧм 1000 кага вылӧ  пузчужӧм кагаяслысь кувсьӧм 5,4 тшупӧдӧдз чинтӧм</t>
  </si>
  <si>
    <t xml:space="preserve">ГП:  пузчужӧм кагалӧн кувсьӧм (ловъяӧн чужӧм 1000 кага вылӧ случай)                                                                       
</t>
  </si>
  <si>
    <t>85.</t>
  </si>
  <si>
    <r>
      <t>Шӧр мероприятие 3.0202: Ф</t>
    </r>
    <r>
      <rPr>
        <sz val="14"/>
        <color indexed="18"/>
        <rFont val="Times New Roman"/>
        <family val="1"/>
      </rPr>
      <t>етальнӧй (кынӧм пытшкын) да неонатальнӧй хирургия бурмӧдӧм</t>
    </r>
  </si>
  <si>
    <t>86.</t>
  </si>
  <si>
    <r>
      <t>Шӧр мероприятие 3.0203: Н</t>
    </r>
    <r>
      <rPr>
        <sz val="14"/>
        <color indexed="18"/>
        <rFont val="Times New Roman"/>
        <family val="1"/>
      </rPr>
      <t>еонатальнӧй скрининг котыртӧм бурмӧдӧм</t>
    </r>
  </si>
  <si>
    <t xml:space="preserve">ловйӧн чужӧм 1000 кага вылӧ  пузчужӧм кагаяслысь кувсьӧм 5,4 тшупӧдӧдз чинтӧм, пузчужӧм кагаяслӧн став лыд серти рӧдсянь вуджӧм висьӧмъяс вылӧ прӧверитӧм пузчужӧм кагаяслысь пай 99,6 прӧчентысь абу этшаджык кыпӧдӧм </t>
  </si>
  <si>
    <t xml:space="preserve">рӧдсянь вуджӧм патологияӧн висьмӧм, вермытӧмлун тшупӧд содӧм, демография серпас лёкмӧм, виччысяна оландыр чинӧм </t>
  </si>
  <si>
    <t xml:space="preserve">ГП:  пузчужӧм кагалӧн кувсьӧм (ловъяӧн чужӧм 1000 кага вылӧ случай);                                                                 ПП3: неонатальнӧй скрининг нуӧдӧм (рӧдсянь вуджӧм висьӧмъяс вылӧ прӧверитӧм пузчужӧм кагаяс пай пузчужӧм кагаяслӧн став лыд серти) (прӧчентъясӧн)
</t>
  </si>
  <si>
    <t>87.</t>
  </si>
  <si>
    <r>
      <t>Шӧр мероприятие 3.0204: М</t>
    </r>
    <r>
      <rPr>
        <sz val="14"/>
        <color indexed="18"/>
        <rFont val="Times New Roman"/>
        <family val="1"/>
      </rPr>
      <t>едводдза во олысь кагаяслы аудиологическӧй скрининг котыртӧм бурмӧдӧм</t>
    </r>
  </si>
  <si>
    <t xml:space="preserve">ловйӧн чужӧм 1000 кага вылӧ  пузчужӧм кагаяслысь кувсьӧм 5,4 тшупӧдӧдз чинтӧм, пузчужӧм кагаяслӧн став лыд серти  аудиологическӧй скрининг нуӧдӧм вылӧ прӧверитӧм пузчужӧм кагаяслысь пай 98,7 прӧчентысь абу этшаджык кыпӧдӧмх </t>
  </si>
  <si>
    <t xml:space="preserve">пельын торксьӧмъяс, вермытӧмлун тшупӧд содӧм, демография серпас лёкмӧм, виччысяна оландыр чинӧм </t>
  </si>
  <si>
    <t xml:space="preserve">ГП:  пузчужӧм кагалӧн кувсьӧм (ловъяӧн чужӧм 1000 кага вылӧ случай);                                                                 ПП3: аудиологическӧй скрининг нуӧдӧм (аудиологическӧй скрининг нуӧдӧм вылӧ прӧверитӧм пузчужӧм кагаяслӧн пай пузчужӧм кагаяслӧн став лыд серти) (прӧчентъясӧн)
</t>
  </si>
  <si>
    <r>
      <t xml:space="preserve">3 мог. </t>
    </r>
    <r>
      <rPr>
        <i/>
        <sz val="16"/>
        <color indexed="18"/>
        <rFont val="Times New Roman"/>
        <family val="1"/>
      </rPr>
      <t>Лоны позьтӧм этша сьӧктаа кагаясӧс тӧралӧм</t>
    </r>
  </si>
  <si>
    <t>88.</t>
  </si>
  <si>
    <r>
      <t>Шӧр мероприятие 3.0301: Й</t>
    </r>
    <r>
      <rPr>
        <sz val="14"/>
        <color indexed="18"/>
        <rFont val="Times New Roman"/>
        <family val="1"/>
      </rPr>
      <t xml:space="preserve">ӧзлысь дзоньвидзалун видзан учреждениеяслысь, кутшӧмъяс сетӧны «неонатология» профиль серти медицина отсӧг, удж бурмӧдӧм (“Неонатология” профиль серти медицина отсӧг сетан пӧрадок серти, мый вынсьӧдӧма Россия Федерацияса йӧзлысь дзоньвидзалун видзан министерстволӧн 2012 во вӧльгым тӧлысь 15 лунся 921н №-а тшӧктӧдӧн)
</t>
    </r>
  </si>
  <si>
    <t xml:space="preserve">ловйӧн чужӧм 1000 кага вылӧ 5,4 тшупӧдӧдз пузчужӧм кагалысь кувсьӧм, чужӧм бӧрын водз кувсян петкӧдлас 11,1 прӧчент вылӧ чинтӧм, акушер стационарын этша да лоны позьтӧм этша сьӧктаӧн чужысьяслӧн лыд серти ловйӧн кольӧм кагаяслысь пай 6,4 прӧчент вылӧ кыподӧм </t>
  </si>
  <si>
    <t>челядьлӧн висьмӧм, вермытӧмлун тшупӧд содӧм, демография серпас лёкмӧм</t>
  </si>
  <si>
    <t xml:space="preserve">ГП:  пузчужӧм кагалӧн кувсьӧм (ловъяӧн чужӧм 1000 кага вылӧ случай);                                                                 
ПП3:чужӧм бӧрын водз кувсян петкӧдлас (ловъяӧн чужӧм 1000 кага вылӧ случай);
ПП3: акушер стационарын челядьлӧн, кодъяс чужисны этша да лоны позьтӧм этша сьӧктаӧн, ловйӧн кольӧм (акушер стационарын этша да лоны позьтӧм этша сьӧктаӧн чужысьяслӧн лыд серти ловйӧн кольӧм кагаяслӧн пай) (промиллеын)
</t>
  </si>
  <si>
    <t>89.</t>
  </si>
  <si>
    <r>
      <t>Шӧр мероприятие 3.0302: Кадысь водз чужӧм</t>
    </r>
    <r>
      <rPr>
        <sz val="16"/>
        <color indexed="18"/>
        <rFont val="Times New Roman"/>
        <family val="1"/>
      </rPr>
      <t xml:space="preserve"> кагаясӧс, кодъяс чужисны этша да лоны позьтӧм этша сьӧктаӧн, сы лыдын кодъясӧс ыстісны сьӧкыд вермытӧмлунысь (аддзытӧмысь, пельтӧммӧмысь) профилактика нуӧдӧм вылӧ, тӧралӧмын да реабилитируйтӧмын выль технологияяс пыртӧм
</t>
    </r>
  </si>
  <si>
    <t>ловйӧн чужӧм 1000 кага вылӧ  пузчужӧм кагаяслысь кувсьӧм 5,4 тшупӧдӧдз чинтӧм, акушер стационарын этша да лоны позьтӧм этша сьӧктаӧн чужысьяслӧн лыд серти ловйӧн кольӧм кагаяслысь пай 6,4 прӧчент вылӧ кыподӧм</t>
  </si>
  <si>
    <t xml:space="preserve">ГП:  пузчужӧм кагалӧн кувсьӧм (ловъяӧн чужӧм 1000 кага вылӧ случай);                                                                 
ПП3: акушер стационарын челядьлӧн, кодъяс чужисны этша да лоны позьтӧм этша сьӧктаӧн, ловйӧн кольӧм (акушер стационарын этша да лоны позьтӧм этша сьӧктаӧн чужысьяслӧн лыд серти ловйӧн кольӧм кагаяслӧн пай) (промиллеын)
</t>
  </si>
  <si>
    <t>90.</t>
  </si>
  <si>
    <r>
      <t>Шӧр мероприятие 3.0303: Л</t>
    </r>
    <r>
      <rPr>
        <sz val="14"/>
        <color indexed="18"/>
        <rFont val="Times New Roman"/>
        <family val="1"/>
      </rPr>
      <t>оны позьтӧм этша сьӧктаа кагаясӧс тӧралӧмын вермӧмъяс кузя регистр нуӧдӧм котыртӧм</t>
    </r>
  </si>
  <si>
    <t>91.</t>
  </si>
  <si>
    <r>
      <t>Шӧр мероприятие 3.0304: Й</t>
    </r>
    <r>
      <rPr>
        <sz val="14"/>
        <color indexed="18"/>
        <rFont val="Times New Roman"/>
        <family val="1"/>
      </rPr>
      <t>ӧзлысь дзоньвидзалун видзан объектъяс канму коланлун вылӧ стрӧитӧм да выльмӧдӧм</t>
    </r>
  </si>
  <si>
    <t>ловйӧн чужӧм 1000 кага вылӧ 5,4 тшупӧдӧдз пузчужӧм кагалысь кувсьӧм,  чужӧм бӧрын водз кувсян петкӧдлас 11,1 прӧчент вылӧ чинтӧм</t>
  </si>
  <si>
    <t xml:space="preserve">ГП:  пузчужӧм кагалӧн кувсьӧм (ловъяӧн чужӧм 1000 кага вылӧ случай);                                                                 
ПП3:чужӧм бӧрын водз кувсян петкӧдлас (ловъяӧн чужӧм 1000 кага вылӧ случай)                                                                                                                                      
</t>
  </si>
  <si>
    <r>
      <t xml:space="preserve">4 мог. </t>
    </r>
    <r>
      <rPr>
        <i/>
        <sz val="16"/>
        <color indexed="18"/>
        <rFont val="Times New Roman"/>
        <family val="1"/>
      </rPr>
      <t>Челядьлы медводдза медико-санитарнӧй да специализируйтӧм медицина отсӧг сӧвмӧдӧм</t>
    </r>
  </si>
  <si>
    <t>92.</t>
  </si>
  <si>
    <r>
      <t xml:space="preserve">Шӧр мероприятие 3.0401: </t>
    </r>
    <r>
      <rPr>
        <sz val="14"/>
        <color indexed="18"/>
        <rFont val="Times New Roman"/>
        <family val="1"/>
      </rPr>
      <t>Коми Республикаса йӧзлысь дзоньвидзалун видзан канму учреждениеяс подув вылын челядьлы быд сикас специализируйтӧм стационарнӧй медицина отсӧг котыртӧм бурмӧдӧм</t>
    </r>
  </si>
  <si>
    <t>ловйӧн чужӧм 1000 кага вылӧ  пузчужӧм кагаяслысь кувсьӧм 5,4 тшупӧдӧдз чинтӧм, стационарӧ воӧм лыд серти кувсьӧм челядьлысь пай 0,14 прӧчентысь абу унджык тшупӧдын кольӧм</t>
  </si>
  <si>
    <t>челядьлы медицина отсӧг сетан качество да судзсянлун чинӧм</t>
  </si>
  <si>
    <t xml:space="preserve">ГП:  пузчужӧм кагалӧн кувсьӧм (ловъяӧн чужӧм 1000 кага вылӧ случай);                                                                 
ПП3: больничаясын челядьлӧн кувсьӧм (стационарын кувсьӧм челядьлӧн пай воӧм лыд серти) (прӧчентъясӧн)
</t>
  </si>
  <si>
    <t>93.</t>
  </si>
  <si>
    <r>
      <t>Шӧр мероприятие 3.0402: Д</t>
    </r>
    <r>
      <rPr>
        <sz val="14"/>
        <color indexed="18"/>
        <rFont val="Times New Roman"/>
        <family val="1"/>
      </rPr>
      <t>зоньвидзалун видзан учреждениеясын педиатрическӧй куйлан фонд выльысь профилируйтӧм да выль тэчасӧ вуджӧдӧм</t>
    </r>
  </si>
  <si>
    <t>94.</t>
  </si>
  <si>
    <r>
      <t>Шӧр мероприятие 3.0403:Ч</t>
    </r>
    <r>
      <rPr>
        <sz val="14"/>
        <color indexed="18"/>
        <rFont val="Times New Roman"/>
        <family val="1"/>
      </rPr>
      <t>елядьлы специализируйтӧм медицина отсӧгсӧ тшупӧдъясӧн сетӧм могмӧдӧм, пациентъяслысь ветлӧдлан туйнысӧ да дзоньвидзалун видзан учреждениеяслысь ӧтувъя уджсӧ бурмӧдӧм, кутшӧмъяс видзӧдӧны да сетӧны челядьлы специализируйтӧм медицина отсӧг</t>
    </r>
  </si>
  <si>
    <t xml:space="preserve">ловйӧн чужӧм 1000 кага вылӧ  пузчужӧм кагаяслысь кувсьӧм 5,4 тшупӧдӧдз чинтӧм, стационарӧ воӧм лыд серти кувсьӧм челядьлысь пай 0,14 прӧчентысь абу унджык тшупӧдын кольӧм </t>
  </si>
  <si>
    <t>95.</t>
  </si>
  <si>
    <r>
      <t>Шӧр мероприятие 3.0404: И</t>
    </r>
    <r>
      <rPr>
        <sz val="14"/>
        <color indexed="18"/>
        <rFont val="Times New Roman"/>
        <family val="1"/>
      </rPr>
      <t>чӧт войтырлы амбулаторияын специализируйтӧм медицина отсӧг сетӧмсӧ торйӧдлӧм (Коми Республикаса йӧзлысь дзоньвидзалун видзан канму учреждениеяслӧн подув вылын)</t>
    </r>
  </si>
  <si>
    <t>ловйӧн чужӧм 1000 кага вылӧ  пузчужӧм кагаяслысь кувсьӧм 5,4 тшупӧдӧдз чинтӧм, 0-17 арӧса челядьлӧн кувсян петкӧдлассӧ лӧсялана арлыда 100 сюрс олысь вылӧ 7,4 случайысь абу унджык тшупӧдын, челядьлӧн медводдза вермытӧмлунсӧ лӧсялана арлыда 10 сюрс кага вылӧ 23,5 случайысь абу унджык тшупӧдын кольӧм</t>
  </si>
  <si>
    <t xml:space="preserve">ГП:  пузчужӧм кагалӧн кувсьӧм (ловъяӧн чужӧм 1000 кага вылӧ случай);                                                                 
ПП3: 0-17 арӧса челядьлӧн кувсьӧм (лӧсялана арлыда йӧзлӧн 10 сюрс морт вылӧ случай);
ПП3: челядьлӧн медводдза вермытӧмлун (челядь пай, кодъяслы медводдзаысь индісны вермытӧмлун, челядьлӧн став лыд серти) (лӧсялана арлыда 10 сюрс кага вылӧ случай)
</t>
  </si>
  <si>
    <t>96.</t>
  </si>
  <si>
    <r>
      <t>Шӧр мероприятие 3.0405: С</t>
    </r>
    <r>
      <rPr>
        <sz val="14"/>
        <color indexed="18"/>
        <rFont val="Times New Roman"/>
        <family val="1"/>
      </rPr>
      <t>пециализируйтӧм медицина отсӧг сетӧм вылӧ условиеяс лӧсьӧдӧм сійӧс сетан стандартъяс серти</t>
    </r>
  </si>
  <si>
    <t xml:space="preserve">ловйӧн чужӧм 1000 кага вылӧ  пузчужӧм кагаяслысь кувсьӧм 5,4 тшупӧдӧдз чинтӧм, 0-17 арӧса челядьлӧн кувсян петкӧдлассӧ лӧсялана арлыда 100 сюрс олысь вылӧ 7,4 случайысь абу унджык тшупӧдын, челядьлӧн медводдза вермытӧмлунсӧ лӧсялана арлыда 10 сюрс кага вылӧ 23,5 случайысь абу унджык тшупӧдын кольӧм </t>
  </si>
  <si>
    <t>97.</t>
  </si>
  <si>
    <r>
      <t>Шӧр мероприятие 3.0406: Й</t>
    </r>
    <r>
      <rPr>
        <sz val="14"/>
        <color indexed="18"/>
        <rFont val="Times New Roman"/>
        <family val="1"/>
      </rPr>
      <t>ӧзлысь дзоньвидзалун видзан учреждениеяслысь, кутшӧмъяс тшӧтш сетӧны челядьлы специализируйтӧм медицина отсӧг, удж котыртӧм (Россия Федерацияса йӧзлысь дзоньвидзалун видзан министерстволӧн тшӧктӧдъясӧн вынсьӧдӧм пӧрадокъяс подув вылын)</t>
    </r>
  </si>
  <si>
    <t>98.</t>
  </si>
  <si>
    <r>
      <t>Шӧр мероприятие 3.0407: К</t>
    </r>
    <r>
      <rPr>
        <sz val="14"/>
        <color indexed="18"/>
        <rFont val="Times New Roman"/>
        <family val="1"/>
      </rPr>
      <t>узя висьысь челядьлысь регистръяс лӧсьӧдӧм да бура кутӧм</t>
    </r>
  </si>
  <si>
    <t>ловйӧн чужӧм 1000 кага вылӧ  пузчужӧм кагаяслысь кувсьӧм 5,4 тшупӧдӧдз чинтӧм, челядьлӧн медводдза вермытӧмлунсӧ лӧсялана арлыда 10 сюрс кага вылӧ 23,5 случайысь абу унджык тшупӧдын кольӧм</t>
  </si>
  <si>
    <t xml:space="preserve">ГП:  пузчужӧм кагалӧн кувсьӧм (ловъяӧн чужӧм 1000 кага вылӧ случай);                                                                 
ПП3: челядьлӧн медводдза вермытӧмлун (челядь пай, кодъяслы медводдзаысь индісны вермытӧмлун, челядьлӧн став лыд серти) (лӧсялана арлыда 10 сюрс кага вылӧ случай)
</t>
  </si>
  <si>
    <t>99.</t>
  </si>
  <si>
    <r>
      <t xml:space="preserve">Шӧр мероприятие 3.0408: </t>
    </r>
    <r>
      <rPr>
        <sz val="14"/>
        <color indexed="18"/>
        <rFont val="Times New Roman"/>
        <family val="1"/>
      </rPr>
      <t>“Челядьлы республиканскӧй  больнича” канму учреждениеса здание выльмӧдӧм вылӧ федеральнӧй сьӧмӧн могмӧдан юалӧм кузя Россия Федерацияса йӧзлысь дзоньвидзалун видзан министерствокӧд ӧтувъя удж нуӧдӧм</t>
    </r>
  </si>
  <si>
    <t xml:space="preserve">ловйӧн чужӧм 1000 кага вылӧ  пузчужӧм кагаяслысь кувсьӧм 5,4 тшупӧдӧдз чинтӧм, 0-17 арӧса челядьлӧн кувсян петкӧдлассӧ лӧсялана арлыда 100 сюрс олысь вылӧ 7,4 случайысь абу унджык тшупӧдын, стационарӧ воӧм лыд серти кувсьӧм челядьлысь пай 0,14 прӧчентысь абу унджык тшупӧдын кольӧм </t>
  </si>
  <si>
    <t>100.</t>
  </si>
  <si>
    <r>
      <t>Шӧр мероприятие 3.0409: А</t>
    </r>
    <r>
      <rPr>
        <sz val="14"/>
        <color indexed="18"/>
        <rFont val="Times New Roman"/>
        <family val="1"/>
      </rPr>
      <t>мбулаторно-поликлиническӧй да стационарнӧй учреждениеяс тшупӧдын, кутшӧмъяс сетӧны челядьлы медицина отсӧг, стационар вежан технологияяс паськыда пыртӧм</t>
    </r>
  </si>
  <si>
    <t>101.</t>
  </si>
  <si>
    <r>
      <t>Шӧр мероприятие 3.0410: Т</t>
    </r>
    <r>
      <rPr>
        <sz val="14"/>
        <color indexed="18"/>
        <rFont val="Times New Roman"/>
        <family val="1"/>
      </rPr>
      <t xml:space="preserve">омуловлы медицина отсӧг сетӧм котыртӧм бурмӧдӧм
</t>
    </r>
  </si>
  <si>
    <t>ловйӧн чужӧм 1000 кага вылӧ  пузчужӧм кагаяслысь кувсьӧм 5,4 тшупӧдӧдз чинтӧм, 0-17 арӧса челядьлӧн кувсян петкӧдлассӧ лӧсялана арлыда 100 сюрс олысь вылӧ 7,4 случайысь абу унджык тшупӧдын кольӧм</t>
  </si>
  <si>
    <t xml:space="preserve">ГП:  пузчужӧм кагалӧн кувсьӧм (ловъяӧн чужӧм 1000 кага вылӧ случай);                                                                 
ПП3: 0-17 арӧса челядьлӧн кувсьӧм (лӧсялана арлыда йӧзлӧн 10 сюрс морт вылӧ случай)
</t>
  </si>
  <si>
    <t>102.</t>
  </si>
  <si>
    <r>
      <t>Шӧр мероприятие 3.0411: П</t>
    </r>
    <r>
      <rPr>
        <sz val="14"/>
        <color indexed="18"/>
        <rFont val="Times New Roman"/>
        <family val="1"/>
      </rPr>
      <t>икӧ воӧм челядьлы медицина отсӧг сетӧм котыртӧм бурмӧдӧм</t>
    </r>
  </si>
  <si>
    <t>103.</t>
  </si>
  <si>
    <r>
      <t xml:space="preserve">Шӧр мероприятие 3.0412: </t>
    </r>
    <r>
      <rPr>
        <sz val="14"/>
        <color indexed="18"/>
        <rFont val="Times New Roman"/>
        <family val="1"/>
      </rPr>
      <t>Кага керкаяслысь уджсӧ бурмӧдӧм</t>
    </r>
  </si>
  <si>
    <t>104ю</t>
  </si>
  <si>
    <r>
      <t>Шӧр мероприятие 3.0413: Общеобразовательнӧй</t>
    </r>
    <r>
      <rPr>
        <sz val="14"/>
        <color indexed="18"/>
        <rFont val="Times New Roman"/>
        <family val="1"/>
      </rPr>
      <t xml:space="preserve"> учреждениеясын челядьлы медицина отсӧг сетӧм бурмӧдӧм
</t>
    </r>
  </si>
  <si>
    <r>
      <t xml:space="preserve">5 мог. </t>
    </r>
    <r>
      <rPr>
        <i/>
        <sz val="16"/>
        <color indexed="18"/>
        <rFont val="Times New Roman"/>
        <family val="1"/>
      </rPr>
      <t>Мамсянь плодыслы ВИЧ веськыда вуджӧмкӧд тышын методъяс бурмӧдӧм</t>
    </r>
  </si>
  <si>
    <t>105.</t>
  </si>
  <si>
    <r>
      <t>Шӧр мероприятие3.0501: М</t>
    </r>
    <r>
      <rPr>
        <sz val="14"/>
        <color indexed="18"/>
        <rFont val="Times New Roman"/>
        <family val="1"/>
      </rPr>
      <t>амсянь плодыслы ВИЧ веськыда вуджӧмкӧд тышын ӧнія методъяс пыртӧм</t>
    </r>
  </si>
  <si>
    <t>ловйӧн чужӧм 1000 кага вылӧ  пузчужӧм кагаяслысь кувсьӧм 5,4 тшупӧдӧдз чинтӧм, уджалысь стандартъяс серти “мам-кага” параяслы  химиопрофилактика нуӧдан пай 99 прӧчентӧдз кыпӧдӧм</t>
  </si>
  <si>
    <t xml:space="preserve">ГП:  пузчужӧм кагалӧн кувсьӧм (ловъяӧн чужӧм 1000 кага вылӧ случай);                                                                 
ПП3: уджалысь стандартъяс серти “мам-кага” параяслы  химиопрофилактика нуӧдӧм (челядь пай, кодъяслы нуӧдӧны химиопрофилактика уджалысь стандартъяс серти, кор мамлӧн эм ВИЧ-инфекция) (прӧчентъясӧн)
</t>
  </si>
  <si>
    <t>106.</t>
  </si>
  <si>
    <r>
      <t xml:space="preserve">Шӧр мероприятие 3.0502: </t>
    </r>
    <r>
      <rPr>
        <sz val="14"/>
        <color indexed="18"/>
        <rFont val="Times New Roman"/>
        <family val="1"/>
      </rPr>
      <t>ВИЧ-инфекция мамъяссянь чужӧм челядьӧс колана йӧв сорасӧн чужӧмсянь дон босьттӧг могмӧдӧм</t>
    </r>
  </si>
  <si>
    <t xml:space="preserve">ловйӧн чужӧм 1000 кага вылӧ  пузчужӧм кагаяслысь кувсьӧм 5,4 тшупӧдӧдз чинтӧм, уджалысь стандартъяс серти “мам-кага” параяслы  химиопрофилактика нуӧдан пай 99 прӧчентӧдз кыпӧдӧм </t>
  </si>
  <si>
    <t>107.</t>
  </si>
  <si>
    <r>
      <t>Шӧр мероприятие 3.0503: М</t>
    </r>
    <r>
      <rPr>
        <sz val="14"/>
        <color indexed="18"/>
        <rFont val="Times New Roman"/>
        <family val="1"/>
      </rPr>
      <t xml:space="preserve">амсянь кагалы ВИЧ-инфекция вуджӧмысь видзан мераяс йылысь йӧзлы юӧр сетӧм бурмӧдӧм
</t>
    </r>
  </si>
  <si>
    <r>
      <t xml:space="preserve">6 мог. </t>
    </r>
    <r>
      <rPr>
        <i/>
        <sz val="16"/>
        <color indexed="18"/>
        <rFont val="Times New Roman"/>
        <family val="1"/>
      </rPr>
      <t>Абортъясысь видзан мераяс. Пикӧ воӧм нӧбасьысьяслы медико-социальнӧй отсӧг сетан шӧринъяс сӧвмӧдӧм</t>
    </r>
  </si>
  <si>
    <t>108.</t>
  </si>
  <si>
    <r>
      <t>Шӧр мероприятие 0601: П</t>
    </r>
    <r>
      <rPr>
        <sz val="14"/>
        <color indexed="18"/>
        <rFont val="Times New Roman"/>
        <family val="1"/>
      </rPr>
      <t>икӧ воӧм нӧбасьысьяслы медико-социальнӧй отсӧг сетан шӧринъяслысь уджсӧ бурмӧдӧм</t>
    </r>
  </si>
  <si>
    <t>мамъяслысь кувсьӧм 2,4 прӧчент вылӧ чинтӧм,  став нывбаба лыд серти, кодъяс шыӧдчисны медицина организацияясӧ нӧбасьӧм дугӧдӧм кузя, кага новлӧдлыны решитӧм нывбабаяслысь пай 20 прӧчентысь абу унджык тшупӧдын кольӧм</t>
  </si>
  <si>
    <t>чужан петкӧдласын бур динамика абутӧмлун, нывбабаяслӧн чужтыны верманлун петкӧдласъяс лёкмӧм</t>
  </si>
  <si>
    <t xml:space="preserve">ГП: мамлӧн кувсьӧм (ловйӧн чужӧм 100 сюрс кага вылӧ случай);                                                                     
ПП3: абортъясысь видзан мероприятиеяслӧн бӧртасъяс (кага новлӧдлыны решитӧм нывбабаяслӧн пай став нывбаба лыд серти, кодъяс шыӧдчисны медицина организацияясӧ нӧбасьӧм дугӧдӧм кузя) (прӧчентъясӧн)
</t>
  </si>
  <si>
    <t>109.</t>
  </si>
  <si>
    <r>
      <t>Шӧр мероприятие 3.0602: С</t>
    </r>
    <r>
      <rPr>
        <sz val="14"/>
        <color indexed="18"/>
        <rFont val="Times New Roman"/>
        <family val="1"/>
      </rPr>
      <t>оциальнӧй риск группаясысь нывбабаясӧс да томуловӧс контрацептивъясӧн дон босьттӧг могмӧдӧм</t>
    </r>
  </si>
  <si>
    <t xml:space="preserve">мамъяслысь кувсьӧм 2,4 прӧчент вылӧ чинтӧм,  став нывбаба лыд серти, кодъяс шыӧдчисны медицина организацияясӧ нӧбасьӧм дугӧдӧм кузя, кага новлӧдлыны решитӧм нывбабаяслысь пай 20 прӧчентысь абу унджык тшупӧдын кольӧм </t>
  </si>
  <si>
    <t>нывбабаяслӧн чужтыны верманлун петкӧдласъяс лёкмӧм</t>
  </si>
  <si>
    <t>110.</t>
  </si>
  <si>
    <r>
      <t>Шӧр мероприятие 3.0603: С</t>
    </r>
    <r>
      <rPr>
        <sz val="14"/>
        <color indexed="18"/>
        <rFont val="Times New Roman"/>
        <family val="1"/>
      </rPr>
      <t xml:space="preserve">емья лӧсьӧдӧмын да гозъялысь дзоньвидзалун бурмӧдӧмын юалӧмъяс кузя юӧр тӧдӧм йӧзлысь кыпӧдӧм
</t>
    </r>
  </si>
  <si>
    <t>чужан петкӧдласын бур динамика абутӧмлун, нывбабаяслӧн да мужичӧйяслӧн репродуктивнӧй функция петкӧдласъяс лёкмӧм</t>
  </si>
  <si>
    <t>“Медицинскӧй реабилитация да санаторно-курортнӧй бурдӧдӧм сӧвмӧдӧм, сы лыдын челядьлы” 4 уджтасув</t>
  </si>
  <si>
    <r>
      <t xml:space="preserve">1 мог. </t>
    </r>
    <r>
      <rPr>
        <i/>
        <sz val="16"/>
        <color indexed="18"/>
        <rFont val="Times New Roman"/>
        <family val="1"/>
      </rPr>
      <t>Отсӧг сетан профиль серти реанимация отделениеясын да специализируйтӧм отделениеясын медицинскӧй реабилитация кузя удж котыртӧм да бурмӧдӧм</t>
    </r>
  </si>
  <si>
    <t>111.</t>
  </si>
  <si>
    <r>
      <t>Шӧр мероприятие 4.0101: Ӧ</t>
    </r>
    <r>
      <rPr>
        <sz val="14"/>
        <color indexed="18"/>
        <rFont val="Times New Roman"/>
        <family val="1"/>
      </rPr>
      <t>нія медицинскӧй оборудованиеӧн помӧдз могмӧдӧм, кутшӧмӧн вӧдитчӧны комплекснӧй реабилитационнӧй бурдӧдігӧн</t>
    </r>
  </si>
  <si>
    <t>3,3 во вылӧ виччысяна оландыр содӧм, реабилитация отсӧг сетӧм верстьӧ йӧзлы  25 прӧчент тшупӧдӧдз сійӧс сетӧмын нуждайтчысь став лыд серти, вермытӧм челядьлы 85 прӧчент тшупӧдӧдз сійӧс сетӧмын нуждайтчысь став лыд серти кыпӧдӧм</t>
  </si>
  <si>
    <t>йӧзлӧн вермытӧмлун, кувсян петкӧдласъяс содӧм, оландыр содан ӧд чинӧм</t>
  </si>
  <si>
    <t xml:space="preserve">ГП:  чужигӧн виччысяна оландыр (во);                                                                                                                         ПП4: пациентъяслы реабилитация медицина отсӧг сетӧм (пациентъяслӧн пай, кодъяс босьтісны реабилитация медицина отсӧг, нуждайтчысьяс лыд серти) (прӧчентъясӧн);
ПП4: вермытӧм челядьлы реабилитация медицина отсӧг сетӧм (вермытӧм челядь пай, кодъяс босьтісны реабилитация медицина отсӧг, нуждайтчысьяс лыд серти) (прӧчентъясӧн)
</t>
  </si>
  <si>
    <t>112.</t>
  </si>
  <si>
    <r>
      <t>Шӧр мероприятие 4.0102: М</t>
    </r>
    <r>
      <rPr>
        <sz val="14"/>
        <color indexed="18"/>
        <rFont val="Times New Roman"/>
        <family val="1"/>
      </rPr>
      <t>едицинскӧй реабилитацияын ӧнія технологияяс пыртӧм</t>
    </r>
  </si>
  <si>
    <t>113.</t>
  </si>
  <si>
    <r>
      <t>Шӧр мероприятие 4.0103: М</t>
    </r>
    <r>
      <rPr>
        <sz val="14"/>
        <color indexed="18"/>
        <rFont val="Times New Roman"/>
        <family val="1"/>
      </rPr>
      <t>едицинскӧй реабилитациялӧн I тшупӧдын юалӧмъяс кузя  медицинскӧй кадръяс дасьтӧм котыртӧм</t>
    </r>
  </si>
  <si>
    <t>114.</t>
  </si>
  <si>
    <r>
      <t>Шӧр мероприятие 4.0104: В</t>
    </r>
    <r>
      <rPr>
        <sz val="14"/>
        <color indexed="18"/>
        <rFont val="Times New Roman"/>
        <family val="1"/>
      </rPr>
      <t>исьысьясӧс реабилитируйтӧм котыртӧм вылӧ мультидисциплинарнӧй бригадаяс лӧсьӧдӧм</t>
    </r>
  </si>
  <si>
    <t xml:space="preserve">ГП:  чужигӧн виччысяна оландыр (во);                                                                                                                       ПП4: пациентъяслы реабилитация медицина отсӧг сетӧм (пациентъяслӧн пай, кодъяс босьтісны реабилитация медицина отсӧг, нуждайтчысьяс лыд серти) (прӧчентъясӧн);
ПП4: вермытӧм челядьлы реабилитация медицина отсӧг сетӧм (вермытӧм челядь пай, кодъяс босьтісны реабилитация медицина отсӧг, нуждайтчысьяс лыд серти) (прӧчентъясӧн)
</t>
  </si>
  <si>
    <t>115.</t>
  </si>
  <si>
    <r>
      <t>Шӧр мероприятие 4.0105: Д</t>
    </r>
    <r>
      <rPr>
        <sz val="14"/>
        <color indexed="18"/>
        <rFont val="Times New Roman"/>
        <family val="1"/>
      </rPr>
      <t>зоньвидзалун видзан учреждениеясын пациентъяслысь ветлӧдлӧмсӧ да реабилитируйтан отсӧг сетігӧн дзоньвидзалун видзан учреждениеяс костын ӧтувъя удж бурмӧдӧм</t>
    </r>
  </si>
  <si>
    <r>
      <t xml:space="preserve">2 мог. </t>
    </r>
    <r>
      <rPr>
        <i/>
        <sz val="16"/>
        <color indexed="18"/>
        <rFont val="Times New Roman"/>
        <family val="1"/>
      </rPr>
      <t>Реабилитируйтан отделениеяс котыртӧм</t>
    </r>
  </si>
  <si>
    <t>116.</t>
  </si>
  <si>
    <r>
      <t>Шӧр мероприятие 4.0201: Р</t>
    </r>
    <r>
      <rPr>
        <sz val="14"/>
        <color indexed="18"/>
        <rFont val="Times New Roman"/>
        <family val="1"/>
      </rPr>
      <t>еабилитациялӧн II тшупӧда отделениеяслысь удж котыртӧм (Коми Республикаса дзоньвидзалун видзан канму сьӧмкуд учреждениеяс подув вылын)</t>
    </r>
  </si>
  <si>
    <t>117.</t>
  </si>
  <si>
    <r>
      <t xml:space="preserve">Шӧр мероприятие 4.0202: </t>
    </r>
    <r>
      <rPr>
        <sz val="14"/>
        <color indexed="18"/>
        <rFont val="Times New Roman"/>
        <family val="1"/>
      </rPr>
      <t>“Кардиологическӧй диспансер” Коми Республикаса канму учреждение подув вылын кардиологическӧй профиля пациентъяслы реабилитируйтан отделениелысь уджсӧ бурмӧдӧм</t>
    </r>
  </si>
  <si>
    <t>118.</t>
  </si>
  <si>
    <r>
      <t>Шӧр мероприятие 4.0203: М</t>
    </r>
    <r>
      <rPr>
        <sz val="14"/>
        <color indexed="18"/>
        <rFont val="Times New Roman"/>
        <family val="1"/>
      </rPr>
      <t>едицинскӧй реабилитация сикасъяс да методъяс паськӧдӧм, кутшӧмъясӧс вӧзйӧма вӧдитчыны реабилитациялӧн II тшупӧдын</t>
    </r>
  </si>
  <si>
    <t>119.</t>
  </si>
  <si>
    <r>
      <t>Шӧр мероприятие 4.0204: М</t>
    </r>
    <r>
      <rPr>
        <sz val="14"/>
        <color indexed="18"/>
        <rFont val="Times New Roman"/>
        <family val="1"/>
      </rPr>
      <t>едицинскӧй реабилитациялӧн II тшупӧдын сійӧс сетан юалӧмъяс кузя медицина кадръяс дасьтӧм котыртӧм</t>
    </r>
  </si>
  <si>
    <t xml:space="preserve">ГП:  чужигӧн виччысяна оландыр (во);                                                                                                                        ПП4: пациентъяслы реабилитация медицина отсӧг сетӧм (пациентъяслӧн пай, кодъяс босьтісны реабилитация медицина отсӧг, нуждайтчысьяс лыд серти) (прӧчентъясӧн);
ПП4: вермытӧм челядьлы реабилитация медицина отсӧг сетӧм (вермытӧм челядь пай, кодъяс босьтісны реабилитация медицина отсӧг, нуждайтчысьяс лыд серти) (прӧчентъясӧн)
</t>
  </si>
  <si>
    <t>120.</t>
  </si>
  <si>
    <r>
      <t>Шӧр мероприятие 4.0205: В</t>
    </r>
    <r>
      <rPr>
        <sz val="14"/>
        <color indexed="18"/>
        <rFont val="Times New Roman"/>
        <family val="1"/>
      </rPr>
      <t>исьысьясӧс реабилитируйтӧм вылӧ мультидисциплинарнӧй бригадаяс лӧсьӧдӧм</t>
    </r>
  </si>
  <si>
    <t>121.</t>
  </si>
  <si>
    <r>
      <t>Шӧр мероприятие 4.0206: П</t>
    </r>
    <r>
      <rPr>
        <sz val="14"/>
        <color indexed="18"/>
        <rFont val="Times New Roman"/>
        <family val="1"/>
      </rPr>
      <t xml:space="preserve">ациентъяслысь ветлӧдлан туй да реабилитируйтан II тшупӧдын отсӧг сетігӧн дзоньвидзалун видзан учреждениеяс костын ӧтувъя удж лӧсьӧдӧм да бурмӧдӧм
</t>
    </r>
  </si>
  <si>
    <t>122.</t>
  </si>
  <si>
    <r>
      <t>Шӧр мероприятие 4.0207: Ч</t>
    </r>
    <r>
      <rPr>
        <sz val="14"/>
        <color indexed="18"/>
        <rFont val="Times New Roman"/>
        <family val="1"/>
      </rPr>
      <t>елядьлы больничаясын специализируйтӧм койкаясысь юкӧн реабилитационнӧй койкаяс вылӧ вуджӧдӧм</t>
    </r>
  </si>
  <si>
    <t xml:space="preserve">3,3 во вылӧ виччысяна оландыр содӧм, вермытӧм челядьлы реабилитация отсӧг сетӧм  сійӧс сетӧмын нуждайтчысь став лыд серти 85 прӧчент тшупӧдӧдз кыпӧдӧм </t>
  </si>
  <si>
    <t xml:space="preserve">ГП:  чужигӧн виччысяна оландыр (во);                                                       
ПП4: вермытӧм челядьлы реабилитация медицина отсӧг сетӧм (вермытӧм челядь пай, кодъяс босьтісны реабилитация медицина отсӧг, нуждайтчысьяс лыд серти) (прӧчентъясӧн)
</t>
  </si>
  <si>
    <r>
      <t xml:space="preserve">3 мог. </t>
    </r>
    <r>
      <rPr>
        <i/>
        <sz val="16"/>
        <rFont val="Times New Roman"/>
        <family val="1"/>
      </rPr>
      <t>Амбулаторно-поликлиническӧй учреждениеясын реабилитация кабинетъяслысь (отделениеяслысь) удж сӧвмӧдӧм</t>
    </r>
  </si>
  <si>
    <t>123.</t>
  </si>
  <si>
    <r>
      <t>Шӧр мероприятие 4.0301: А</t>
    </r>
    <r>
      <rPr>
        <sz val="14"/>
        <color indexed="18"/>
        <rFont val="Times New Roman"/>
        <family val="1"/>
      </rPr>
      <t xml:space="preserve">мбулаторно-поликлиническӧй учреждениеясын реабилитация кабинетъяс (отделениеяс) ӧнія медицина оборудованиеӧн тырвыйӧ могмӧдӧм (выль пӧв могмӧдӧм), кутшӧмӧн вӧдитчӧны комплекснӧй реабилитационнӧй бурдӧдігӧн
</t>
    </r>
  </si>
  <si>
    <t>124.</t>
  </si>
  <si>
    <r>
      <t>Шӧр мероприятие 4.0302: А</t>
    </r>
    <r>
      <rPr>
        <sz val="14"/>
        <color indexed="18"/>
        <rFont val="Times New Roman"/>
        <family val="1"/>
      </rPr>
      <t>мбулаторно-поликлиническӧй учреждениеясын реабилитация кабинетъяслӧн (отделениеяслӧн) уджӧ ӧнія медицинскӧй реабилитация технологияяс пыртӧм</t>
    </r>
  </si>
  <si>
    <t>125.</t>
  </si>
  <si>
    <r>
      <t xml:space="preserve">Шӧр мероприятие 4.0303: </t>
    </r>
    <r>
      <rPr>
        <sz val="14"/>
        <color indexed="18"/>
        <rFont val="Times New Roman"/>
        <family val="1"/>
      </rPr>
      <t>“Заполярье” санаторий-профилакторий подув вылын Воркута карса олысьяслы, сы лыдын челядьлы, медицинскӧй реабилитациялӧн III тшупӧд котыртӧм</t>
    </r>
  </si>
  <si>
    <t>126.</t>
  </si>
  <si>
    <r>
      <t>Шӧр мероприятие 4.0304: М</t>
    </r>
    <r>
      <rPr>
        <sz val="14"/>
        <color indexed="18"/>
        <rFont val="Times New Roman"/>
        <family val="1"/>
      </rPr>
      <t xml:space="preserve">едицинскӧй реабилитациялӧн III тшупӧдын сійӧс сетан юалӧмъяс кузя медицина кадръяс дасьтӧм котыртӧм
</t>
    </r>
  </si>
  <si>
    <t>127.</t>
  </si>
  <si>
    <r>
      <t>Шӧр мероприятие 4.0305: В</t>
    </r>
    <r>
      <rPr>
        <sz val="14"/>
        <color indexed="18"/>
        <rFont val="Times New Roman"/>
        <family val="1"/>
      </rPr>
      <t>исьысьясӧс, кодъяслӧн сьӧкыда торксьӧма юр вемын вир ветлӧм, доймылӧма юр вемныс, тырвыйӧ бурдӧдӧм да реабилитируйтӧм вылӧ мультидисциплинарнӧй бригадаяс формируйтӧм да котыртӧм</t>
    </r>
  </si>
  <si>
    <t>128.</t>
  </si>
  <si>
    <r>
      <t>Шӧр мероприятие 4.0306: М</t>
    </r>
    <r>
      <rPr>
        <sz val="14"/>
        <color indexed="18"/>
        <rFont val="Times New Roman"/>
        <family val="1"/>
      </rPr>
      <t>едицинскӧй реабилитациялӧн куим тшупӧда тэчасын уджалӧм вылӧ мультидисциплинарнӧй бригадаясса специалистъяслы велӧдӧм котыртӧм, Войтыркостса уджалӧм да дзоньвидзалун классифицируйтӧмлӧн медшӧр положениеяс урчитӧмӧн</t>
    </r>
  </si>
  <si>
    <t xml:space="preserve">ГП:  чужигӧн виччысяна оландыр;                                                                                                                                ПП4: пациентъяслы реабилитация медицина отсӧг сетӧм (пациентъяслӧн пай, кодъяс босьтісны реабилитация медицина отсӧг, нуждайтчысьяс лыд серти) (прӧчентъясӧн);
ПП4: вермытӧм челядьлы реабилитация медицина отсӧг сетӧм (вермытӧм челядь пай, кодъяс босьтісны реабилитация медицина отсӧг, нуждайтчысьяс лыд серти) (прӧчентъясӧн)
</t>
  </si>
  <si>
    <t>129.</t>
  </si>
  <si>
    <r>
      <t>Шӧр мероприятие 4.0307:</t>
    </r>
    <r>
      <rPr>
        <sz val="12"/>
        <rFont val="Times New Roman"/>
        <family val="1"/>
      </rPr>
      <t xml:space="preserve"> Ч</t>
    </r>
    <r>
      <rPr>
        <sz val="14"/>
        <color indexed="18"/>
        <rFont val="Times New Roman"/>
        <family val="1"/>
      </rPr>
      <t xml:space="preserve">елядьлы амбулаторнӧй реабилитация отсӧг сетӧм дінму тшупӧд вылӧ вуджӧдӧм
</t>
    </r>
  </si>
  <si>
    <t>3,3 во вылӧ виччысяна оландыр содӧм, вермытӧм челядьлы реабилитация отсӧг сетӧм  сійӧс сетӧмын нуждайтчысь став лыд серти 85 прӧчент тшупӧдӧдз кыпӧдӧм</t>
  </si>
  <si>
    <t xml:space="preserve">ГП:  чужигӧн виччысяна оландыр;                                                       
ПП4: вермытӧм челядьлы реабилитация медицина отсӧг сетӧм (вермытӧм челядь пай, кодъяс босьтісны реабилитация медицина отсӧг, нуждайтчысьяс лыд серти) (прӧчентъясӧн)
</t>
  </si>
  <si>
    <t>4 мог. Реабилитациялысь санаторно-курортнӧй тшупӧд бурмӧдӧм</t>
  </si>
  <si>
    <t>130.</t>
  </si>
  <si>
    <r>
      <t xml:space="preserve">Шӧр мероприятие 4.0401: </t>
    </r>
    <r>
      <rPr>
        <sz val="14"/>
        <color indexed="18"/>
        <rFont val="Times New Roman"/>
        <family val="1"/>
      </rPr>
      <t>Коми Республикаса санаторнӧй учреждениеяс подув вылын верстьӧ йӧзлы реабилитация отсӧг сетӧм бурмӧдӧм</t>
    </r>
  </si>
  <si>
    <t xml:space="preserve">3,3 во вылӧ виччысяна оландыр содӧм, пациентъяслысь пай, кодъяс бурдӧдчисны санаторно-курортнӧя, санаторно-курортнӧй бурдӧдчӧм вылӧ мӧдӧдӧм лыд серти 30 прӧчент тшупӧдын кольӧм </t>
  </si>
  <si>
    <t xml:space="preserve">ГП:  чужигӧн виччысяна оландыр (во);                                                                                                                         ПП4: пациентъясӧс санаторно-курортнӧя бурдӧдӧм (пациентъяслӧн пай, кодъяс бурдӧдчисны санаторно-курортнӧя, санаторно-курортнӧй бурдӧдчӧм вылӧ мӧдӧдӧм лыд серти) (прӧчентъясӧн)
</t>
  </si>
  <si>
    <t>131.</t>
  </si>
  <si>
    <r>
      <t>Шӧр мероприятие 4.0402: Й</t>
    </r>
    <r>
      <rPr>
        <sz val="14"/>
        <color indexed="18"/>
        <rFont val="Times New Roman"/>
        <family val="1"/>
      </rPr>
      <t>ӧзлысь дзоньвидзалун видзан объектъяс канму коланлун вылӧ стрӧитӧм да выльмӧдӧм</t>
    </r>
  </si>
  <si>
    <t xml:space="preserve">3,3 во вылӧ виччысяна оландыр содӧм, пациентъяслысь пай, кодъяс бурдӧдчисны санаторно-курортнӧя, санаторно-курортнӧй бурдӧдчӧм вылӧ мӧдӧдӧм лыд серти 30 прӧчент тшупӧдын кольӧм; 2016 вося ӧшым тӧлысь 31 лун кежлӧ “Княжпогост районса Серегов сиктын санаторнӧй комплекс” стрӧитӧм объект уджӧ пыртӧм </t>
  </si>
  <si>
    <t xml:space="preserve">ГП:  чужигӧн виччысяна оландыр (во);                                                                                                                         ПП4: пациентъясӧс санаторно-курортнӧя бурдӧдӧм (пациентъяслӧн пай, кодъяс бурдӧдчисны санаторно-курортнӧя, санаторно-курортнӧй бурдӧдчӧм вылӧ мӧдӧдӧм лыд серти) (прӧчентъясӧн);                                         ПП4: “Княжпогост районса Серегов сиктын санаторнӧй комплекс” стрӧитӧм объектлӧн техническӧй дасьлун серти прӧчент (прӧчентъясӧн)
</t>
  </si>
  <si>
    <t>132.</t>
  </si>
  <si>
    <r>
      <t>Шӧр мероприятие 4.0403: Ч</t>
    </r>
    <r>
      <rPr>
        <sz val="14"/>
        <color indexed="18"/>
        <rFont val="Times New Roman"/>
        <family val="1"/>
      </rPr>
      <t>елядьлы санаторийяс подув вылын челядьлы реабилитация отсӧг сетӧм бурмӧдӧм</t>
    </r>
  </si>
  <si>
    <t>133.</t>
  </si>
  <si>
    <r>
      <t xml:space="preserve">Шӧр мероприятие 4.0404: </t>
    </r>
    <r>
      <rPr>
        <sz val="14"/>
        <color indexed="18"/>
        <rFont val="Times New Roman"/>
        <family val="1"/>
      </rPr>
      <t xml:space="preserve">Коми Республика мутасын санаторно-курортнӧй учреждениеяслӧн уджӧ медицинскӧй реабилитация ӧнія технологияяс пыртӧм
</t>
    </r>
  </si>
  <si>
    <t xml:space="preserve">ГП:  чужигӧн виччысяна оландыр (во);                                                                                                                        ПП4: пациентъясӧс санаторно-курортнӧя бурдӧдӧм (пациентъяслӧн пай, кодъяс бурдӧдчисны санаторно-курортнӧя, санаторно-курортнӧй бурдӧдчӧм вылӧ мӧдӧдӧм лыд серти) (прӧчентъясӧн)
</t>
  </si>
  <si>
    <t>134.</t>
  </si>
  <si>
    <r>
      <t>Шӧр мероприятие 4.0405: С</t>
    </r>
    <r>
      <rPr>
        <sz val="14"/>
        <color indexed="18"/>
        <rFont val="Times New Roman"/>
        <family val="1"/>
      </rPr>
      <t xml:space="preserve">анаторно-курортнӧй тшупӧдын медицинскӧй реабилитациялӧн юалӧмъяс кузя медицина кадръяс дасьтӧм котыртӧм 
</t>
    </r>
  </si>
  <si>
    <t>135.</t>
  </si>
  <si>
    <r>
      <t xml:space="preserve">Шӧр мероприятие 4.0406: </t>
    </r>
    <r>
      <rPr>
        <sz val="14"/>
        <color indexed="18"/>
        <rFont val="Times New Roman"/>
        <family val="1"/>
      </rPr>
      <t xml:space="preserve">Коми Республикаса республиканскӧй сьӧмкуд да федеральнӧй сьӧмкуд тшӧт весьтӧ Россия Федерацияса мукӧд субъектлӧн да федеральнӧй подчинениеа санаторно-курортнӧй организацияясын реабилитациялысь санаторно-курортнӧй тшупӧд котыртӧм
</t>
    </r>
  </si>
  <si>
    <t>“Паллиативнӧй отсӧг сетӧм, сы лыдын челядьлы” 5 уджтасув</t>
  </si>
  <si>
    <r>
      <t xml:space="preserve">1 мог. </t>
    </r>
    <r>
      <rPr>
        <i/>
        <sz val="16"/>
        <color indexed="18"/>
        <rFont val="Times New Roman"/>
        <family val="1"/>
      </rPr>
      <t>Верстьӧ олысьяслы паллиативнӧй отсӧг сетӧм котыртӧм</t>
    </r>
  </si>
  <si>
    <t>136.</t>
  </si>
  <si>
    <r>
      <t>Шӧр мероприятие5.0101: П</t>
    </r>
    <r>
      <rPr>
        <sz val="14"/>
        <color indexed="18"/>
        <rFont val="Times New Roman"/>
        <family val="1"/>
      </rPr>
      <t>аллиативнӧй отсӧг сетӧм котыртӧм (“Сыктывкарлӧн карса больнича” Коми Республикаса йӧзлысь дзоньвидзалун видзан канму сьӧмкуд учреждение подув вылын отделение, “Воркутаса регыдъя медицина отсӧг сетан больнича”, “Печораса шӧр районнӧй больнича”, “Сосногорскса шӧр районнӧй больнича” Коми Республикаса йӧзлысь дзоньвидзалун видзан канму сьӧмкуд учреждениеяслӧн тэчасын юкӧдувъяс лӧсьӧдӧм)</t>
    </r>
  </si>
  <si>
    <t xml:space="preserve">3,3 во вылӧ виччысяна оландыр содӧм, 100 сюрс  верстьӧ олысь вылӧ верстьӧяслы паллиативнӧй отсӧг сетӧм вылӧ10 куйлан тшупӧдӧдз койкаясӧн могмӧдӧм    </t>
  </si>
  <si>
    <t>йӧзлӧн кувсян петкӧдлас содӧм, оландыр содан ӧд чинӧм</t>
  </si>
  <si>
    <t xml:space="preserve">ГП:  чужигӧн виччысяна оландыр (во);                                                                              
ПП5: верстьӧяслы паллиативнӧй отсӧг сетӧм вылӧ койкаясӧн могмӧдӧм (100 сюрс верстьӧ олысь вылӧ койка)
</t>
  </si>
  <si>
    <t>137.</t>
  </si>
  <si>
    <r>
      <t>Шӧр мероприятие 5.0102: Ӧ</t>
    </r>
    <r>
      <rPr>
        <sz val="14"/>
        <color indexed="18"/>
        <rFont val="Times New Roman"/>
        <family val="1"/>
      </rPr>
      <t xml:space="preserve">тувъя бурдӧдан чукӧрысь амбулаторно-поликлиническӧй учреждениеясын паллиативнӧй отсӧг сетан кабинетъяс либӧ ветлӧмӧн паллиативнӧй отсӧг сетан патронажнӧй бригадаяс котыртӧм
</t>
    </r>
  </si>
  <si>
    <t>3,3 во вылӧ виччысяна оландыр содӧм, 100 сюрс  верстьӧ олысь вылӧ верстьӧяслы паллиативнӧй отсӧг сетӧм вылӧ10 куйлан тшупӧдӧдз койкаясӧн могмӧдӧм</t>
  </si>
  <si>
    <t>138.</t>
  </si>
  <si>
    <r>
      <t>Шӧр мероприятие 5.0103: С</t>
    </r>
    <r>
      <rPr>
        <sz val="14"/>
        <color indexed="18"/>
        <rFont val="Times New Roman"/>
        <family val="1"/>
      </rPr>
      <t xml:space="preserve">тав тшупӧдын мыджӧда отсӧг сетігӧн выль технологияяс пыртӧм
</t>
    </r>
  </si>
  <si>
    <t>139.</t>
  </si>
  <si>
    <r>
      <t>Шӧр мероприятие 5.0104: П</t>
    </r>
    <r>
      <rPr>
        <sz val="14"/>
        <color indexed="18"/>
        <rFont val="Times New Roman"/>
        <family val="1"/>
      </rPr>
      <t xml:space="preserve">аллиативнӧй отсӧг сетан отделениелысь материально-техническӧй да ресурснӧй подувсӧ сӧвмӧдӧм
</t>
    </r>
  </si>
  <si>
    <t>140.</t>
  </si>
  <si>
    <r>
      <t>Шӧр мероприятие 5.0105: П</t>
    </r>
    <r>
      <rPr>
        <sz val="14"/>
        <color indexed="18"/>
        <rFont val="Times New Roman"/>
        <family val="1"/>
      </rPr>
      <t>аллиативнӧй отсӧг сетан стационарнӧй отделениелы, паллиативнӧй отсӧг сетан кабинетъяслы да ветлӧмӧн паллиативнӧй отсӧг сетан  бригадаяслы кадръяс дасьтӧм котыртӧм</t>
    </r>
  </si>
  <si>
    <t>141.</t>
  </si>
  <si>
    <r>
      <t>Шӧр мероприятие 5.0106: С</t>
    </r>
    <r>
      <rPr>
        <sz val="14"/>
        <color indexed="18"/>
        <rFont val="Times New Roman"/>
        <family val="1"/>
      </rPr>
      <t xml:space="preserve">естринскӧй дӧзьӧра койкаяслысь удж бурмӧдӧм
</t>
    </r>
  </si>
  <si>
    <t xml:space="preserve">ГП:  чужигӧн виччысяна оландыр (во);                                                                              
ПП5:верстьӧяслы паллиативнӧй отсӧг сетӧм вылӧ койкаясӧн могмӧдӧм (100 сюрс верстьӧ олысь вылӧ койка)
</t>
  </si>
  <si>
    <r>
      <t xml:space="preserve">2 мог. </t>
    </r>
    <r>
      <rPr>
        <i/>
        <sz val="16"/>
        <color indexed="18"/>
        <rFont val="Times New Roman"/>
        <family val="1"/>
      </rPr>
      <t>Ичӧт войтырлы паллиативнӧй отсӧг сетӧм котыртӧм</t>
    </r>
  </si>
  <si>
    <t>142.</t>
  </si>
  <si>
    <r>
      <t>Шӧр мероприятие 5.0201: Б</t>
    </r>
    <r>
      <rPr>
        <sz val="14"/>
        <color indexed="18"/>
        <rFont val="Times New Roman"/>
        <family val="1"/>
      </rPr>
      <t>урдлытӧм висьӧмъясӧн нёрпалысь челядьлы паллиативнӧй (хосписнӧй) отсӧг сетӧм вылӧ содтӧд койка лыд восьтӧм (“Республикаса челядьлы больнича” канму учреждение, “Ухтаса челядьлы больнича”, “Воркутаса челядьлы больнича”, “Инталӧн шӧр карса больнича”, “Печораса шӧр районнӧй больнича”, “Усинскса шӧр районнӧй больнича” Коми Республикаса йӧзлысь дзоньвидзалун видзан канму сьӧмкуд учреждениеяс подув вылын)</t>
    </r>
  </si>
  <si>
    <t xml:space="preserve">ловйӧн чужӧм 1000 кага вылӧ  пузчужӧм кагаяслысь кувсьӧм 5,4 тшупӧдӧдз чинтӧм, 100 сюрс  ичӧт войтыр вылӧ челядьлы паллиативнӧй отсӧг сетӧм вылӧ 7,1 куйлан тшупӧдӧдз койкаясӧн могмӧдӧм кыпӧдӧм </t>
  </si>
  <si>
    <t xml:space="preserve">ГП:  пузчужӧм кагалӧн кувсьӧм (ловъяӧн чужӧм 1000 кага вылӧ случай);                                                               
ПП5: челядьлы паллиативнӧй отсӧг сетӧм вылӧ койкаясӧн могмӧдӧм (100 сюрс ичӧт войтыр вылӧ койка)
</t>
  </si>
  <si>
    <t>143.</t>
  </si>
  <si>
    <r>
      <t>Шӧр мероприятие 5.0202: Д</t>
    </r>
    <r>
      <rPr>
        <sz val="14"/>
        <color indexed="18"/>
        <rFont val="Times New Roman"/>
        <family val="1"/>
      </rPr>
      <t>зоньвидзалун видзан учреждениеяслысь, кӧні эмӧсь челядьлы паллиативнӧй (хосписнӧй) койкаяс, материально-техническӧй да ресурснӧй подувсӧ сӧвмӧдӧм</t>
    </r>
  </si>
  <si>
    <t>ловйӧн чужӧм 1000 кага вылӧ  пузчужӧм кагаяслысь кувсьӧм 5,4 тшупӧдӧдз чинтӧм, 100 сюрс  ичӧт войтыр вылӧ челядьлы паллиативнӧй отсӧг сетӧм вылӧ 7,1 куйлан тшупӧдӧдз койкаясӧн могмӧдӧм кыпӧдӧм</t>
  </si>
  <si>
    <t>144.</t>
  </si>
  <si>
    <r>
      <t xml:space="preserve">Шӧр мероприятие 5.0203: </t>
    </r>
    <r>
      <rPr>
        <sz val="14"/>
        <color indexed="18"/>
        <rFont val="Times New Roman"/>
        <family val="1"/>
      </rPr>
      <t>Бурдлытӧм висьӧмъясӧн нёрпалысь челядь дорӧ ветлӧмӧн челядьлы поликлиникаяслысь (консультацияяслысь) удж котыртӧм</t>
    </r>
  </si>
  <si>
    <t>145.</t>
  </si>
  <si>
    <r>
      <t>Шӧр мероприятие 5.0204: Ч</t>
    </r>
    <r>
      <rPr>
        <sz val="14"/>
        <color indexed="18"/>
        <rFont val="Times New Roman"/>
        <family val="1"/>
      </rPr>
      <t>елядьлы став тшупӧдын мыджӧда отсӧг сетігӧн выль технологияяс пыртӧм</t>
    </r>
  </si>
  <si>
    <t>146.</t>
  </si>
  <si>
    <r>
      <t>Шӧр мероприятие 5.0205: Б</t>
    </r>
    <r>
      <rPr>
        <sz val="14"/>
        <color indexed="18"/>
        <rFont val="Times New Roman"/>
        <family val="1"/>
      </rPr>
      <t xml:space="preserve">урдлытӧм висьӧмъясӧн нёрпалысь челядьлы да налӧн рӧдвужлы медико-социальнӧй да психологическӧй реабилитация нуӧдан юалӧмъяс кузя кадръяс дасьтӧм котыртӧм
</t>
    </r>
  </si>
  <si>
    <t>“Йӧзлысь дзоньвидзалун видзан система кадръясӧн могмӧдӧм” 6 уджтасув</t>
  </si>
  <si>
    <r>
      <t xml:space="preserve">1 мог. </t>
    </r>
    <r>
      <rPr>
        <i/>
        <sz val="14"/>
        <color indexed="18"/>
        <rFont val="Times New Roman"/>
        <family val="1"/>
      </rPr>
      <t>Коми Республикаын йӧзлысь дзоньвидзалун видзан кадръяс вынйӧрӧн веськӧдлан система лӧсьӧдӧм</t>
    </r>
  </si>
  <si>
    <t>147.</t>
  </si>
  <si>
    <r>
      <t xml:space="preserve">Шӧр мероприятие 6.0101: </t>
    </r>
    <r>
      <rPr>
        <sz val="14"/>
        <color indexed="18"/>
        <rFont val="Times New Roman"/>
        <family val="1"/>
      </rPr>
      <t xml:space="preserve">Коми Республикаса “Дзоньвидзалун видзӧм” юкӧнлы вылыс тшупӧда да шӧр тшупӧда уджсикасын тӧдӧмлуна кадрӧвӧй ресурсъясын ӧнія да водзӧ вылӧ коланлун планируйтӧм, тӧдмалӧм да мониторинг нуӧдӧм
</t>
    </r>
  </si>
  <si>
    <r>
      <t xml:space="preserve">10 сюрс олысь вылӧ врачьясӧн могмӧдӧм 39,5 абу этшаджык тшупӧдӧдз кыпӧдӧм, врачьяс да шӧр медицина уджалысьяс костын лӧсялӧмсӧ 1 : 3 тшупӧдын кольӧм, врачьясӧн тырмытӧм 1119 морт вылӧ чинтӧм, сы лыдын медицина организацияясын, кӧні сетӧны йӧзлы амбулаторнӧй отсӧг, 839 морт вылӧ, стационар учреждениеясын 273 морт вылӧ, шӧр медицина уджалысьясӧн тырмытӧм </t>
    </r>
    <r>
      <rPr>
        <sz val="16"/>
        <color indexed="18"/>
        <rFont val="Times New Roman"/>
        <family val="1"/>
      </rPr>
      <t>2 433</t>
    </r>
    <r>
      <rPr>
        <sz val="16"/>
        <color indexed="18"/>
        <rFont val="Times New Roman"/>
        <family val="1"/>
      </rPr>
      <t xml:space="preserve"> морт вылӧ чинтӧм, сы лыдын медицина организацияясын, кӧні сетӧны йӧзлы амбулаторнӧй отсӧг </t>
    </r>
    <r>
      <rPr>
        <sz val="16"/>
        <color indexed="18"/>
        <rFont val="Times New Roman"/>
        <family val="1"/>
      </rPr>
      <t>2 854 морт вылӧ</t>
    </r>
    <r>
      <rPr>
        <sz val="16"/>
        <color indexed="18"/>
        <rFont val="Times New Roman"/>
        <family val="1"/>
      </rPr>
      <t>, стационарнӧй учреждениеясын шӧр медицина уджалысь лыд 321 морт вылӧ чинтӧм</t>
    </r>
  </si>
  <si>
    <t>Кадръяс йылысь стӧч юӧр абутӧмлун, вылыс квалификацияа специалистъяслӧн абутӧмлун, медицина отсӧг сетан качество чинӧм</t>
  </si>
  <si>
    <t xml:space="preserve">ГП: врачьясӧн могмӧдӧм (10 сюрс олысь вылӧ морт);                                                                                                ГП: врачьяслӧн да шӧр медицина персоналлӧн лӧсялӧм;                                                                                    ПП6:  Коми Республикаса канму медицина организацияясын врачьяс тырмытӧм (ставнас) (морт);
ПП6: Коми Республикаса канму медицина организацияясын, кӧні сетӧны йӧзлы амбулаторнӧй отсӧг, врачьяс тырмытӧм (морт);                                                                                                                                                        ПП6: стационарнӧй учреждениеясын врачьяс тырмытӧм (морт);
ПП6: Коми Республикаса канму медицина организацияясын, кӧні сетӧны йӧзлы амбулаторнӧй отсӧг, шӧр медицина уджалысьяс тырмытӧм (морт);
ПП6: медицина организацияясын, кӧні сетӧны йӧзлы амбулаторнӧй отсӧг, шӧр медицина уджалысьяс тырмытӧм (морт);
ПП6: стационарнӧй учреждениеясын шӧр медицина уджалысьяс тырмытӧм (морт)
                                            </t>
  </si>
  <si>
    <t>148.</t>
  </si>
  <si>
    <r>
      <t>Шӧр мероприятие 6.0102: М</t>
    </r>
    <r>
      <rPr>
        <sz val="14"/>
        <color indexed="18"/>
        <rFont val="Times New Roman"/>
        <family val="1"/>
      </rPr>
      <t>едицинскӧй да фармацевтическӧй уджалысьяслӧн федеральнӧй регистрын дінмуса юкӧн нуӧдӧм</t>
    </r>
  </si>
  <si>
    <t>10 сюрс олысь вылӧ врачьясӧн могмӧдӧм 39,5 абу этшаджык тшупӧдӧдз кыпӧдӧм, врачьяс да шӧр медицина уджалысьяс костын лӧсялӧмсӧ 1 : 3 тшупӧдын кольӧм, врачьясӧн тырмытӧм 1119 морт вылӧ чинтӧм, сы лыдын медицина организацияясын, кӧні сетӧны йӧзлы амбулаторнӧй отсӧг, 839 морт вылӧ, стационар учреждениеясын 273 морт вылӧ, шӧр медицина уджалысьясӧн тырмытӧм 2 433 морт вылӧ чинтӧм, сы лыдын медицина организацияясын, кӧні сетӧны йӧзлы амбулаторнӧй отсӧг 2 854 морт вылӧ, стационарнӧй учреждениеясын шӧр медицина уджалысь лыд 321 морт вылӧ чинтӧм</t>
  </si>
  <si>
    <t xml:space="preserve">ГП: врачьясӧн могмӧдӧм (10 сюрс олысь вылӧ морт);                                                                                                 ГП: врачьяслӧн да шӧр медицина персоналлӧн лӧсялӧм;                                                                                    ПП6:  Коми Республикаса канму медицина организацияясын врачьяс тырмытӧм (ставнас) (морт);
ПП6: Коми Республикаса канму медицина организацияясын, кӧні сетӧны йӧзлы амбулаторнӧй отсӧг, врачьяс тырмытӧм (морт);                                                                                                                                                          ПП6: стационарнӧй учреждениеясын врачьяс тырмытӧм (морт);
ПП6: Коми Республикаса канму медицина организацияясын, кӧні сетӧны йӧзлы амбулаторнӧй отсӧг, шӧр медицина уджалысьяс тырмытӧм (морт);
ПП6: медицина организацияясын, кӧні сетӧны йӧзлы амбулаторнӧй отсӧг, шӧр медицина уджалысьяс тырмытӧм (морт);
ПП6: стационарнӧй учреждениеясын шӧр медицина уджалысьяс тырмытӧм (морт)
                                            </t>
  </si>
  <si>
    <t>149.</t>
  </si>
  <si>
    <r>
      <t xml:space="preserve">Шӧр мероприятие 6.0103: </t>
    </r>
    <r>
      <rPr>
        <sz val="11"/>
        <color indexed="18"/>
        <rFont val="Times New Roman"/>
        <family val="1"/>
      </rPr>
      <t>“</t>
    </r>
    <r>
      <rPr>
        <sz val="14"/>
        <color indexed="18"/>
        <rFont val="Times New Roman"/>
        <family val="1"/>
      </rPr>
      <t xml:space="preserve">Ӧтуввез” юӧртан да телекоммуникационнӧй везйын Коми Республикаса йӧзлысь дзоньвидзалун видзан министерстволӧн официальнӧй сайт вылын, йӧзлысь дзоньвидзалун видзан канму учреждениеяслӧн вакансияясӧн электроннӧй база лӧсьӧдӧм
</t>
    </r>
  </si>
  <si>
    <t xml:space="preserve">ГП: врачьясӧн могмӧдӧм (10 сюрс олысь вылӧ морт);                                                                                                 ГП: врачьяслӧн да шӧр медицина персоналлӧн лӧсялӧм;                                                                                    ПП6:  Коми Республикаса канму медицина организацияясын врачьяс тырмытӧм (ставнас) (морт);
ПП6: Коми Республикаса канму медицина организацияясын, кӧні сетӧны йӧзлы амбулаторнӧй отсӧг, врачьяс тырмытӧм (морт);                                                                                                                                                         ПП6: стационарнӧй учреждениеясын врачьяс тырмытӧм (морт);
ПП6: Коми Республикаса канму медицина организацияясын, кӧні сетӧны йӧзлы амбулаторнӧй отсӧг, шӧр медицина уджалысьяс тырмытӧм (морт);
ПП6: медицина организацияясын, кӧні сетӧны йӧзлы амбулаторнӧй отсӧг, шӧр медицина уджалысьяс тырмытӧм (морт);
ПП6: стационарнӧй учреждениеясын шӧр медицина уджалысьяс тырмытӧм (морт)
                                            </t>
  </si>
  <si>
    <r>
      <t xml:space="preserve">2 мог. </t>
    </r>
    <r>
      <rPr>
        <i/>
        <sz val="14"/>
        <color indexed="18"/>
        <rFont val="Times New Roman"/>
        <family val="1"/>
      </rPr>
      <t>Медицина учреждениеяслы медицинаын уджалысьясӧс колана лыдӧдз вайӧдӧм</t>
    </r>
  </si>
  <si>
    <t>150.</t>
  </si>
  <si>
    <r>
      <t>Шӧр мероприятие 6.0201: Ш</t>
    </r>
    <r>
      <rPr>
        <sz val="14"/>
        <color indexed="18"/>
        <rFont val="Times New Roman"/>
        <family val="1"/>
      </rPr>
      <t>ӧр тшупӧда уджсикасӧ да вылыс тшупӧда велӧдан уджтасъяс серти медицинскӧй да фармацевтическӧй уджалысьясӧс контракт серти дасьтӧм могмӧдӧм (“Кировса медицинскӧй канму академия” Россия Федерацияса йӧзлысь дзоньвидзалун видзан министерстволӧн вылыс тшупӧда уджсикасӧ велӧдан канму сьӧмкуд учреждениелӧн Коми филиал подув вылын, “Сыктывкарса канму университет” вылыс тшупӧда уджсикасӧ велӧдан канму сьӧмкуд учреждение подув вылын, Россия Федерацияса мукӧд субъектын вылыс тшупӧдӧ велӧдан заведениеяслӧн подув вылын, Сыктывкар, Ухта, Воркута каръясын меститчӧм шӧр тшупӧда уджсикасӧ велӧдан асшӧрлуна канму велӧдан учреждениеяс подув вылын)</t>
    </r>
  </si>
  <si>
    <t>10 сюрс олысь вылӧ врачьясӧн могмӧдӧм 39,5 абу этшаджык тшупӧдӧдз, 10 сюрс олысь вылӧ шӧр медицина персоналӧн могмӧдӧм 130,1 абу этшаджык тшупӧдӧдз, 10 сюрс олысь вылӧ сиктса йӧзӧс врачьясӧн могмӧдӧм 22,0 абу этшаджык тшупӧдӧдз, 10 сюрс олысь вылӧ  сиктса йӧзӧс шӧр медицина персоналӧн могмӧдӧм 92,4 абу этшаджык тшупӧдӧдз, 10 сюрс олысь вылӧ клиническӧй уджсикаса врачьясӧн могмӧдӧм 25,0 абу этшаджык тшупӧдӧдз кыпӧдӧм, врачьяс да шӧр медицина уджалысьяс костын лӧсялӧмсӧ 1 : 3 тшупӧдын кольӧм</t>
  </si>
  <si>
    <t>Вылыс квалификацияа специалистъяслӧн абутӧмлун, медицина отсӧг сетан качество чинӧм</t>
  </si>
  <si>
    <t>ГП: врачьясӧн могмӧдӧм (10 сюрс олысь вылӧ морт);                                                                                                 ГП:  врачьяслӧн да шӧр медицина уджалысьяслӧн лӧсялӧм;                                                                                 ПП6:  шӧр медицина персоналӧн могмӧдӧм (10 сюрс олысь вылӧ морт);
ПП6: сиктса йӧзӧс врачьясӧн могмӧдӧм  (10 сюрс олысь вылӧ морт);
ПП6: сиктса йӧзӧс шӧр медицина персоналӧн могмӧдӧм (10 сюрс сиктса олысь вылӧ морт);
ПП6: клиническӧй уджсикаса врачьясӧн могмӧдӧм (10 сюрс олысь вылӧ морт)</t>
  </si>
  <si>
    <t>151.</t>
  </si>
  <si>
    <r>
      <t>Шӧр мероприятие 6.0202: В</t>
    </r>
    <r>
      <rPr>
        <sz val="14"/>
        <color indexed="18"/>
        <rFont val="Times New Roman"/>
        <family val="1"/>
      </rPr>
      <t>ылыс тшупӧда велӧдан организацияясын студентъясӧс торъя мог серти велӧдӧм кузя сёрнитчӧмъяс кырымалӧм котыртӧм</t>
    </r>
  </si>
  <si>
    <t>10 сюрс олысь вылӧ врачьясӧн могмӧдӧм 39,5 абу этшаджык тшупӧдӧдз кыпӧдӧм, в том числе врачами сельского населения до уровня не менее 22,0 на 10 тыс. населения</t>
  </si>
  <si>
    <t xml:space="preserve">ГП: врачьясӧн могмӧдӧм (10 сюрс олысь вылӧ морт);                                                                                                 
ПП6: сиктса йӧзӧс врачьясӧн могмӧдӧм  (10 сюрс олысь вылӧ морт)
</t>
  </si>
  <si>
    <t>152.</t>
  </si>
  <si>
    <r>
      <t>Шӧр мероприятие 6.0203:  У</t>
    </r>
    <r>
      <rPr>
        <sz val="14"/>
        <color indexed="18"/>
        <rFont val="Times New Roman"/>
        <family val="1"/>
      </rPr>
      <t>джсикасӧ велӧдан организацияяслӧн студентъясӧс торъя мог серти велӧдӧм кузя сёрнитчӧмъяс кырымалӧм котыртӧм</t>
    </r>
  </si>
  <si>
    <t>10 сюрс олысь вылӧ шӧр медицина персоналӧн могмӧдӧм 130,1 абу этшаджык тшупӧдӧдз, сы лыдын  10 сюрс олысь вылӧ  сиктса йӧзӧс шӧр медицина персоналӧн могмӧдӧм 92,4 абу этшаджык тшупӧдӧдз кыпӧдӧм, врачьяс да шӧр медицина уджалысьяс костын лӧсялӧмсӧ 1 : 3 тшупӧдын кольӧм</t>
  </si>
  <si>
    <t xml:space="preserve">ГП:  врачьяслӧн да шӧр медицина уджалысьяслӧн лӧсялӧм;                                                                                 ПП6: шӧр медицина персоналӧн могмӧдӧм (10 сюрс олысь вылӧ морт);
ПП6: сиктса йӧзӧс шӧр медицина персоналӧн могмӧдӧм (10 сюрс сиктса олысь вылӧ морт)
</t>
  </si>
  <si>
    <t>153.</t>
  </si>
  <si>
    <r>
      <t>Шӧр мероприятие 6.0204: О</t>
    </r>
    <r>
      <rPr>
        <sz val="14"/>
        <color indexed="18"/>
        <rFont val="Times New Roman"/>
        <family val="1"/>
      </rPr>
      <t>бщеобразовательнӧй организацияясса велӧдчысьяскӧд профориентационнӧй удж котыртӧм да нуӧдӧм</t>
    </r>
  </si>
  <si>
    <t xml:space="preserve">врачьяс да шӧр медицина уджалысьяс костын лӧсялӧмсӧ 1 : 3 тшупӧдын кольӧм,  медицина организацияяслысь, кӧні сетӧны йӧзлы  амбулаторнӧй отсӧг, кор врачьясӧн ӧтпырйӧ кыклаын (уналаын) уджалан коэффициентыс 1,3-ысь абу унджык 70 прӧчентӧдз, врачьясӧн, кодъяс сетӧны медводдза медико-санитарнӧй отсӧг, 100 прӧчентӧдз, шӧр медицина персоналӧн, кодъяс сетӧны медводдза медико-санитарнӧй отсӧг, 100 прӧчентӧдз штат чинъяс комплектуйтӧм кыпӧдӧм    </t>
  </si>
  <si>
    <t xml:space="preserve">ГП: врачьяслӧн да шӧр медицина персоналлӧн лӧсялӧм;                                                                                    
ПП6: медицина организацияяслы, кӧні сетӧны йӧзлы врачьясӧн (торъя кывкутысьясӧн) амбулаторнӧй (асшӧра да больничнӧйяс лыдӧ пырысь) отсӧг, штат чинъяс комплектуйтӧм, кор ӧтпырйӧ кыклаын (уналаын) уджалан коэффициентыс 1,3-ысь абу унджык (прӧчентъясӧн);
ПП6: медицина организацияяслы, кӧні сетӧны йӧзлы сестра персоналӧн (торъя кывкутысьясӧн) амбулаторнӧй (асшӧра да больничнӧйяс лыдӧ пырысь) отсӧг, штат чинъяс комплектуйтӧм, кор ӧтпырйӧ кыклаын (уналаын) уджалан коэффициентыс 1,5-ысь абу унджык (прӧчентъясӧн);
ПП6: медицина организацияяслы врачьясӧн (торъя кывкутысьясӧн), кодъяс сетӧны медводдза медико-санитарнӧй отсӧг, штат чинъяс комплектуйтӧм (прӧчентъясӧн);
ПП6: медицина организацияяслы медицинскӧй сестраясӧн (торъя кывкутысьясӧн), кодъяс сетӧны медводдза медико-санитарнӧй отсӧг, штат чинъяс комплектуйтӧм (прӧчентъясӧн)
</t>
  </si>
  <si>
    <t>154.</t>
  </si>
  <si>
    <r>
      <t xml:space="preserve">Шӧр мероприятие 6.0205: </t>
    </r>
    <r>
      <rPr>
        <sz val="14"/>
        <color indexed="18"/>
        <rFont val="Times New Roman"/>
        <family val="1"/>
      </rPr>
      <t>Коми Республикаса медицинаӧ велӧдан организацияясын общеобразовательнӧй организацияясса велӧдчысьяслы «Восьса ӧдзӧс лунъяс» котыртӧм да нуӧдӧм</t>
    </r>
  </si>
  <si>
    <t xml:space="preserve">врачьяс да шӧр медицина уджалысьяс костын лӧсялӧмсӧ 1 : 3 тшупӧдын кольӧм,  медицина организацияяслысь, кӧні сетӧны йӧзлы  амбулаторнӧй отсӧг, кор врачьясӧн ӧтпырйӧ кыклаын (уналаын) уджалан коэффициентыс 1,3-ысь абу унджык 70 прӧчентӧдз, врачьясӧн, кодъяс сетӧны медводдза медико-санитарнӧй отсӧг, 100 прӧчентӧдз, шӧр медицина персоналӧн, кодъяс сетӧны медводдза медико-санитарнӧй отсӧг, 100 прӧчентӧдз штат чинъяс комплектуйтӧм кыпӧдӧм  </t>
  </si>
  <si>
    <t>155.</t>
  </si>
  <si>
    <t>Шӧр мероприятие 6.0206: Вылыс тшупӧда уджсикасӧ велӧдчӧм уджалысьяслы ӧтчыдысь мынтан сьӧм сетӧм (“Россия Федерацияын медицинскӧя быть страхуйтӧм йылысь” 2010 во вӧльгым тӧлысь 29 лунся 326-ФЗ №-а Федеральнӧй оланпаслӧн 51 статьяса 12.1-12.2 юкӧнъяс серти)</t>
  </si>
  <si>
    <t xml:space="preserve">10 сюрс олысь вылӧ врачьясӧн могмӧдӧм 39,5 абу этшаджык тшупӧдӧдз, сы лыдын 10 сюрс олысь вылӧ сиктса йӧзӧс врачьясӧн могмӧдӧм 22,0 абу этшаджык тшупӧдӧдз, 10 сюрс олысь вылӧ клиническӧй уджсикаса врачьясӧн могмӧдӧм 25,0 абу этшаджык тшупӧдӧдз  кыпӧдӧм, медицина организацияяслысь, кӧні сетӧны йӧзлы  амбулаторнӧй отсӧг, кор врачьясӧн ӧтпырйӧ кыклаын (уналаын) уджалан коэффициентыс 1,3-ысь абу унджык 70 прӧчентӧдз, врачьясӧн, кодъяс сетӧны медводдза медико-санитарнӧй отсӧг, 100 прӧчентӧдз штат чинъяс комплектуйтӧм кыпӧдӧм  </t>
  </si>
  <si>
    <t>ГП: врачьясӧн могмӧдӧм (10 сюрс олысь вылӧ морт);                                                                                                 
ПП6: сиктса йӧзӧс врачьясӧн могмӧдӧм  (10 сюрс олысь вылӧ морт);
ПП6: клиническӧй уджсикаса врачьясӧн могмӧдӧм (10 сюрс олысь вылӧ морт);
ПП6: медицина организацияяслы врачьясӧн (торъя кывкутысьясӧн), кодъяс сетӧны медводдза медико-санитарнӧй отсӧг, штат чинъяс комплектуйтӧм (прӧчентъясӧн);
ПП6: медицина организацияяслы медицинскӧй сестраясӧн (торъя кывкутысьясӧн), кодъяс сетӧны медводдза медико-санитарнӧй отсӧг, штат чинъяс комплектуйтӧм (прӧчентъясӧн)</t>
  </si>
  <si>
    <t>156.</t>
  </si>
  <si>
    <r>
      <t>Шӧр мероприятие 6.0207: Ш</t>
    </r>
    <r>
      <rPr>
        <sz val="14"/>
        <color indexed="18"/>
        <rFont val="Times New Roman"/>
        <family val="1"/>
      </rPr>
      <t>ӧр тшупӧда медицинаӧ велӧдчӧм торъя медицинаын уджалысьяслы ӧтчыдысь мынтан сьӧм сетӧм (“Вылыс тшупӧда уджсикасӧ велӧдчӧм да шӧр тшупӧда уджсикасӧ велӧдчӧм медицинаын уджалысьяслӧн торъя категорияяслы, кодъяс уджалӧны сиктса олан пунктъясын, ӧтчыдысь мынтан сьӧм сетӧм йылысь” Коми Республикаса Веськӧдлан котырлӧн 2012 во урасьӧм тӧлысь 14 лунся 45 №-а шуӧм серти)</t>
    </r>
  </si>
  <si>
    <t xml:space="preserve">10 сюрс олысь вылӧ шӧр медицина персоналӧн могмӧдӧм 130,1 абу этшаджык тшупӧдӧдз, сы лыдын  10 сюрс олысь вылӧ  сиктса йӧзӧс шӧр медицина персоналӧн могмӧдӧм 92,4 абу этшаджык тшупӧдӧдз кыпӧдӧм, врачьяс да шӧр медицина уджалысьяс костын лӧсялӧмсӧ 1 : 3 тшупӧдын кольӧм, медицина организацияяслысь, кӧні сетӧны йӧзлы  амбулаторнӧй отсӧг, кор сестра персоналӧн ӧтпырйӧ кыклаын (уналаын) уджалан коэффициентыс 1,5-ысь абу унджык 76 прӧчентӧдз, шӧр медицина персоналӧн, кодъяс сетӧны медводдза медико-санитарнӧй отсӧг, 100 прӧчентӧдз штат чинъяс комплектуйтӧм кыпӧдӧм </t>
  </si>
  <si>
    <t xml:space="preserve">ГП:  врачьяслӧн да шӧр медицина уджалысьяслӧн лӧсялӧм;                                                                               ПП6:   шӧр медицина персоналӧн могмӧдӧм (10 сюрс олысь вылӧ морт);
ПП6:сиктса йӧзӧс шӧр медицина персоналӧн могмӧдӧм (10 сюрс сиктса олысь вылӧ морт);
ПП6: медицина организацияяслы, кӧні сетӧны йӧзлы сестра персоналӧн (торъя кывкутысьясӧн) амбулаторнӧй (асшӧра да больничнӧйяс лыдӧ пырысь) отсӧг, штат чинъяс комплектуйтӧм, кор ӧтпырйӧ кыклаын (уналаын) уджалан коэффициентыс 1,5-ысь абу унджык (прӧчентъясӧн);
ПП6: медицина организацияяслы медицинскӧй сестраясӧн (торъя кывкутысьясӧн), кодъяс сетӧны медводдза медико-санитарнӧй отсӧг, штат чинъяс комплектуйтӧм (прӧчентъясӧн)
</t>
  </si>
  <si>
    <t>157.</t>
  </si>
  <si>
    <r>
      <t>Шӧр мероприятие 6.0208: К</t>
    </r>
    <r>
      <rPr>
        <sz val="14"/>
        <color indexed="18"/>
        <rFont val="Times New Roman"/>
        <family val="1"/>
      </rPr>
      <t xml:space="preserve">адръяс кутӧмын юалӧмъяс кузя меставывса асвеськӧдлан органъяскӧд ӧтувъя удж паськӧдӧм
</t>
    </r>
  </si>
  <si>
    <t>10 сюрс олысь вылӧ врачьясӧн могмӧдӧм 39,5 абу этшаджык тшупӧдӧдз, 10 сюрс олысь вылӧ шӧр медицина персоналӧн могмӧдӧм 130,1 абу этшаджык тшупӧдӧдз кыпӧдӧм,  врачьяс да шӧр медицина уджалысьяс костын лӧсялӧмсӧ 1 : 3 тшупӧдын кольӧм</t>
  </si>
  <si>
    <t xml:space="preserve">ГП: врачьясӧн могмӧдӧм (10 сюрс олысь вылӧ морт);                                                                                                 ГП:  врачьяслӧн да шӧр медицина уджалысьяслӧн лӧсялӧм;                                                                                  ПП6: шӧр медицина персоналӧн могмӧдӧм (10 сюрс олысь вылӧ морт)
</t>
  </si>
  <si>
    <r>
      <t xml:space="preserve">3 мог. </t>
    </r>
    <r>
      <rPr>
        <i/>
        <sz val="16"/>
        <color indexed="18"/>
        <rFont val="Times New Roman"/>
        <family val="1"/>
      </rPr>
      <t>Медицинаын уджалысьяслысь уджсикасын тӧдӧмлунъяс да кужанлунъяс тшупӧд планомернӧя сӧвмӧдӧм вылӧ условиеяс лӧсьӧдӧм</t>
    </r>
  </si>
  <si>
    <t>158.</t>
  </si>
  <si>
    <r>
      <t>Шӧр мероприятие 6.0301: И</t>
    </r>
    <r>
      <rPr>
        <sz val="14"/>
        <color indexed="18"/>
        <rFont val="Times New Roman"/>
        <family val="1"/>
      </rPr>
      <t>нтернъяс пӧвстын уджсям кузя конкурсъяс нуӧдӧм</t>
    </r>
  </si>
  <si>
    <t>10 сюрс олысь вылӧ врачьясӧн могмӧдӧм 39,5 абу этшаджык тшупӧдӧдз кыпӧдӧм, Коми Республика тшупӧдын уджсикас пыдди пуктӧм кыпӧдӧм кузя 2 мероприятиеысь абу этшаджык нуӧдӧм</t>
  </si>
  <si>
    <t xml:space="preserve">ГП: врачьясӧн могмӧдӧм (10 сюрс олысь вылӧ морт);                                                                                              ПП6:  уджсикас пыдди пуктӧмсӧ кыпӧдӧм кузя Коми Республика тшупӧдын нуӧдӧм мероприятие лыд (единица)
</t>
  </si>
  <si>
    <t>159.</t>
  </si>
  <si>
    <r>
      <t>Шӧр мероприятие 6.0302: В</t>
    </r>
    <r>
      <rPr>
        <sz val="14"/>
        <color indexed="18"/>
        <rFont val="Times New Roman"/>
        <family val="1"/>
      </rPr>
      <t xml:space="preserve">ылыс тшупӧда да шӧр тшупӧда медицинскӧй да фармацевтическӧй велӧдӧм специалистъяс пӧвстын уджсям кузя конкурсъяс котыртӧм
</t>
    </r>
  </si>
  <si>
    <t xml:space="preserve">10 сюрс олысь вылӧ врачьясӧн могмӧдӧм 39,5 абу этшаджык тшупӧдӧдз кыпӧдӧм, Коми Республика тшупӧдын уджсикас пыдди пуктӧм кыпӧдӧм кузя 2 мероприятиеысь абу этшаджык нуӧдӧм </t>
  </si>
  <si>
    <t xml:space="preserve">ГП: врачьясӧн могмӧдӧм (10 сюрс олысь вылӧ морт);                                                                                        ПП6: уджсикас пыдди пуктӧмсӧ кыпӧдӧм кузя Коми Республика тшупӧдын нуӧдӧм мероприятие лыд (единица)
</t>
  </si>
  <si>
    <t>160.</t>
  </si>
  <si>
    <r>
      <t xml:space="preserve">Шӧр мероприятие 6.0303: </t>
    </r>
    <r>
      <rPr>
        <sz val="14"/>
        <color indexed="8"/>
        <rFont val="Times New Roman"/>
        <family val="1"/>
      </rPr>
      <t xml:space="preserve">“Коми Республикаса Веськӧдлан котырлӧн премияяс йылысь” Коми Республикаса Веськӧдлан котырлӧн 2007 во вӧльгым тӧлысь 26 лунся 277 №-а шуӧм збыльмӧдӧм
</t>
    </r>
  </si>
  <si>
    <t>10 сюрс олысь вылӧ врачьясӧн могмӧдӧм 39,5 абу этшаджык тшупӧдӧдз кыпӧдӧм, врачьяс да шӧр медицина уджалысьяс костын лӧсялӧмсӧ 1 : 3 тшупӧдын кольӧм</t>
  </si>
  <si>
    <t xml:space="preserve">ГП: врачьясӧн могмӧдӧм (10 сюрс олысь вылӧ морт);                                                                                             ГП: врачьяслӧн да шӧр медицина персоналлӧн лӧсялӧм                                                                                                                              </t>
  </si>
  <si>
    <t>161.</t>
  </si>
  <si>
    <r>
      <t>Шӧр мероприятие 6.0304: М</t>
    </r>
    <r>
      <rPr>
        <sz val="14"/>
        <color indexed="8"/>
        <rFont val="Times New Roman"/>
        <family val="1"/>
      </rPr>
      <t>едицинаын уджалысьлӧн лунлы сиӧм кыпыд мероприятиеяс котыртӧм да нуӧдӧм</t>
    </r>
  </si>
  <si>
    <t>10 сюрс олысь вылӧ врачьясӧн могмӧдӧм 39,5 абу этшаджык тшупӧдӧдз кыпӧдӧм, врачьяс да шӧр медицина уджалысьяс костын лӧсялӧмсӧ 1 : 3 тшупӧдын кольӧм, Коми Республика тшупӧдын уджсикас пыдди пуктӧм кыпӧдӧм кузя 2 мероприятиеысь абу этшаджык нуӧдӧм</t>
  </si>
  <si>
    <t xml:space="preserve">ГП: врачьясӧн могмӧдӧм (10 сюрс олысь вылӧ морт);                                                                                           ГП: врачьяслӧн да шӧр медицина персоналлӧн лӧсялӧм;                                                                                     ПП6: уджсикас пыдди пуктӧмсӧ кыпӧдӧм кузя Коми Республика тшупӧдын нуӧдӧм мероприятие лыд (единица)                                                                                                                          </t>
  </si>
  <si>
    <t>162.</t>
  </si>
  <si>
    <r>
      <t>Шӧр мероприятие 6.0305: Д</t>
    </r>
    <r>
      <rPr>
        <sz val="14"/>
        <color indexed="8"/>
        <rFont val="Times New Roman"/>
        <family val="1"/>
      </rPr>
      <t>зоньвидзалун</t>
    </r>
    <r>
      <rPr>
        <sz val="14"/>
        <color indexed="18"/>
        <rFont val="Times New Roman"/>
        <family val="1"/>
      </rPr>
      <t xml:space="preserve"> видзан учреждениеясса юрнуӧдысьясӧс, медицинаын уджалысьясӧс налысь уджсикаснысӧ тӧдӧм донъялӧм могысь аттестуйтӧм
</t>
    </r>
    <r>
      <rPr>
        <sz val="16"/>
        <rFont val="Times New Roman"/>
        <family val="1"/>
      </rPr>
      <t xml:space="preserve">
</t>
    </r>
  </si>
  <si>
    <r>
      <t xml:space="preserve">10 сюрс олысь вылӧ врачьясӧн могмӧдӧм 39,5 абу этшаджык тшупӧдӧдз кыпӧдӧм, </t>
    </r>
    <r>
      <rPr>
        <sz val="16"/>
        <color indexed="18"/>
        <rFont val="Times New Roman"/>
        <family val="1"/>
      </rPr>
      <t>содтӧд тӧдӧмлун сетан медицинскӧй да фармацевтическӧй уджтасъяс серти 800 врачысь абу этшаджык велӧдӧм, сы лыдын квалификация кыпӧдан курсъяс вылын 715 мортысь абу этшаджык, уджсикасын тӧдӧмлунъяс бурмӧдӧмын 85 мортысь абу этшаджык, ординатураын 40 мортысь абу этшаджык дасьтӧм,  шӧр медицинскӧй да фармацевтическӧй тӧдӧмлунъясӧн 2 800 специалистысь абу этшаджык велӧдӧм, кодъяс велӧдчисны уджсикасӧ велӧдан организацияясын уджсикасын содтӧд уджтасъяс серти (уджсикасын тӧдӧмлунъяс бурмӧдӧм), врачьяслысь пай, кодъяслӧн эм квалификация категория, 40 прӧчентысь абу этшаджык тшупӧдын, шӧр медицина уджалысьяслысь пай</t>
    </r>
    <r>
      <rPr>
        <sz val="16"/>
        <color indexed="18"/>
        <rFont val="Times New Roman"/>
        <family val="1"/>
      </rPr>
      <t>, кодъяслӧн эм Коми Республикаса медицина организацияясын уджалысьяс лыдын квалификация категория, 58 прӧчентысь абу этшаджык тшупӧдын кутӧм</t>
    </r>
  </si>
  <si>
    <t xml:space="preserve">ГП: врачьясӧн могмӧдӧм (10 сюрс олысь вылӧ морт);                                                                                                 ПП6:  врач лыд, кодъяс велӧдчисны вылыс тшупӧда велӧдан канму организацияясын уджсикасын содтӧд тӧдӧмлун сетан медицинскӧй да фармацевтическӧй уджтасъяс серти, сы лыдын: (квалификация кыпӧдӧм) (морт);
(уджсикасын тӧдӧмлунъяс бурмӧдӧм) (морт);
ПП6: вылыс тшупӧда велӧдан канму организацияясын ординатура да интернатура уджтасъяс серти дасьтӧм специалист лыд, сы лыдын: интернатураын (морт); ординатураын (морт);
ПП6: шӧр медицинскӧй да фармацевтическӧй тӧдӧмлунъясӧн специалист лыд, кодъяс велӧдчисны уджсикасӧ велӧдан организацияясын уджсикасын содтӧд уджтасъяс серти, сы лыдын:
(квалификация кыпӧдӧм) (морт); (уджсикасын тӧдӧмлунъяс бурмӧдӧм) (морт);
ПП6:  Коми Республикаса медицина организацияясын уджалысь врачьяслӧн став лыд серти врачьяслӧн пай, кодъяслӧн эм квалификация категория (прӧчентъясӧн);
ПП6: шӧр медицина уджалысьяслӧн пай, кодъяслӧн эм Коми Республикаса медицина организацияясын уджалысьяс лыдын квалификация категория (прӧчентъясӧн);
                                            </t>
  </si>
  <si>
    <t xml:space="preserve"> аккредитуйтӧм специалистъяслысь пай 40 прӧчентӧдз воӧдӧм</t>
  </si>
  <si>
    <t>ПП6: быть аккредитуйтӧм специалистъяслӧн став лыд серти аккредитуйтӧм специалистъяслӧн пай (прӧчентъясӧн)</t>
  </si>
  <si>
    <r>
      <t xml:space="preserve">4 мог. </t>
    </r>
    <r>
      <rPr>
        <i/>
        <sz val="14"/>
        <color indexed="18"/>
        <rFont val="Times New Roman"/>
        <family val="1"/>
      </rPr>
      <t>Медицинаын уджалысьяслы отсӧг сетӧм, налысь олан качествосӧ бурмӧдӧм</t>
    </r>
  </si>
  <si>
    <t>163.</t>
  </si>
  <si>
    <r>
      <t>Шӧр мероприятие 6.0401:М</t>
    </r>
    <r>
      <rPr>
        <sz val="14"/>
        <color indexed="18"/>
        <rFont val="Times New Roman"/>
        <family val="1"/>
      </rPr>
      <t xml:space="preserve">едицинаын уджалысьяслысь удждоннысӧ тшупӧдъясӧн кыпӧдӧм (Коми Республикаса Веськӧдлан котырлӧн 2013 во тӧвшӧр тӧлысь 24 лунся 12-р №-а тшӧктӧм серти)
</t>
    </r>
    <r>
      <rPr>
        <sz val="16"/>
        <rFont val="Times New Roman"/>
        <family val="1"/>
      </rPr>
      <t xml:space="preserve">
</t>
    </r>
  </si>
  <si>
    <t>Министерство экономического развития Республики Коми</t>
  </si>
  <si>
    <r>
      <t xml:space="preserve">Коми Республикаса медицина организацияяслӧн </t>
    </r>
    <r>
      <rPr>
        <sz val="16"/>
        <color indexed="8"/>
        <rFont val="Times New Roman"/>
        <family val="1"/>
      </rPr>
      <t xml:space="preserve">врачьяслысь да уджалысьяслысь,  кодъяслӧн эм вылыс медицинскӧй (фармацевтическӧй) тӧдӧмлун да мӧд вылыс тӧдӧмлун, шӧр удждон  200 прӧчент тшупӧдӧдз, шӧр медицинскӧй (фармацевтическӧй) персоналлысь да ичӧт медицинскӧй персоналлысь – 100 прӧчент тшупӧдӧдз Коми Республикалӧн экономика серти шӧр удждон дорӧ </t>
    </r>
    <r>
      <rPr>
        <sz val="16"/>
        <color indexed="8"/>
        <rFont val="Times New Roman"/>
        <family val="1"/>
      </rPr>
      <t>кыпӧдӧм</t>
    </r>
  </si>
  <si>
    <t xml:space="preserve">ПП6: врачьяслӧн да уджалысьлӧн, кодъяслӧн эм вылыс медицинскӧй (фармацевтическӧй) тӧдӧмлун да мӧд вылыс тӧдӧмлун, кодъяс сетӧны медицина услугаяс (могмӧдӧны медицина услугаяс сетӧмсӧ),  шӧр удждон да Коми Республикаын шӧр удждонкӧд йитчӧм (прӧчентъясӧн);                                                                                    ПП6: шӧр медицинскӧй (фармацевтическӧй) персоналлӧн (медицина услугаяс сетӧмсӧ могмӧдысь персоналлӧн) шӧр удждон да Коми Республикаса шӧр удждонкӧд йитчӧм (прӧчентъясӧн);                                                           ПП6: ичӧт медицинскӧй персоналлӧн (медицина услугаяс сетӧмсӧ могмӧдысь персоналлӧн) шӧр удждон да Коми Республикаса шӧр удждонкӧд йитчӧм (прӧчентъясӧн)                                 </t>
  </si>
  <si>
    <t>164.</t>
  </si>
  <si>
    <r>
      <t>Шӧр мероприятие 6.0402: М</t>
    </r>
    <r>
      <rPr>
        <sz val="14"/>
        <color indexed="18"/>
        <rFont val="Times New Roman"/>
        <family val="1"/>
      </rPr>
      <t>едицина организацияяслӧн веськӧдлан персонал вылӧ рӧскод бӧрся дӧзьӧр котыртӧм (сы лыдын уджсикас котыръяс боксянь)</t>
    </r>
  </si>
  <si>
    <t xml:space="preserve">ГП: врачьяслӧн да шӧр медицина персоналлӧн лӧсялӧм;                                                                                      ПП6: врачьясӧн могмӧдӧм (10 сюрс олысь вылӧ морт)   </t>
  </si>
  <si>
    <t>165.</t>
  </si>
  <si>
    <r>
      <t xml:space="preserve">Шӧр мероприятие 6.0403: </t>
    </r>
    <r>
      <rPr>
        <sz val="14"/>
        <color indexed="18"/>
        <rFont val="Times New Roman"/>
        <family val="1"/>
      </rPr>
      <t>Коми Республика мутасын дзоньвидзалун видзан учреждениеясса уджалысьяслӧн уджын окталунлысь торъя мога лыдпасъяс лӧсьӧдӧм</t>
    </r>
  </si>
  <si>
    <t xml:space="preserve">ГП: врачьяслӧн да шӧр медицина персоналлӧн лӧсялӧм;                                                                                           ПП6: врачьясӧн могмӧдӧм (10 сюрс олысь вылӧ морт)   </t>
  </si>
  <si>
    <t>166.</t>
  </si>
  <si>
    <r>
      <t>Шӧр мероприятие 6.0404: М</t>
    </r>
    <r>
      <rPr>
        <sz val="14"/>
        <color indexed="18"/>
        <rFont val="Times New Roman"/>
        <family val="1"/>
      </rPr>
      <t xml:space="preserve">едицинаын уджалысьяскӧд бур контрактъяслысь модель лӧсьӧдӧм, медицинаын уджалысьясӧс “бур контракт” вылӧ сьӧрсьӧн-бӧрсьӧн вуджӧдӧм
</t>
    </r>
  </si>
  <si>
    <t xml:space="preserve">ГП: врачьяслӧн да шӧр медицина персоналлӧн лӧсялӧм;                                                                                     ПП6: врачьясӧн могмӧдӧм (10 сюрс олысь вылӧ морт)   </t>
  </si>
  <si>
    <r>
      <t xml:space="preserve">5 мог. </t>
    </r>
    <r>
      <rPr>
        <i/>
        <sz val="16"/>
        <color indexed="18"/>
        <rFont val="Times New Roman"/>
        <family val="1"/>
      </rPr>
      <t>Дзоньвидзалун видзан мутас системалы медицина кадръяс дасьтӧм регулируйтӧм да найӧс видзӧм</t>
    </r>
  </si>
  <si>
    <t>167.</t>
  </si>
  <si>
    <r>
      <t>Шӧр мероприятие 6.0501: М</t>
    </r>
    <r>
      <rPr>
        <sz val="14"/>
        <color indexed="18"/>
        <rFont val="Times New Roman"/>
        <family val="1"/>
      </rPr>
      <t xml:space="preserve">едицинскӧй да фармацевтическӧй, сы лыдын веськӧдлысьяс лыдысь, уджалысьясӧс квалификация кыпӧдан да уджсикасын тӧдӧмлунъяс кыпӧдан курсъяс вылӧ ыстӧм котыртӧм
</t>
    </r>
  </si>
  <si>
    <r>
      <t xml:space="preserve">10 сюрс олысь вылӧ врачьясӧн могмӧдӧм 39,5 абу этшаджык тшупӧдӧдз кыпӧдӧм, врачьяс да шӧр медицина уджалысьяс костын лӧсялӧмсӧ 1 : 3 тшупӧдын кольӧм,  </t>
    </r>
    <r>
      <rPr>
        <sz val="14"/>
        <color indexed="18"/>
        <rFont val="Times New Roman"/>
        <family val="1"/>
      </rPr>
      <t>торъя мог вылӧ дасьтӧм йӧзлысь лыд 280 морт тшупӧдын кольӧм, сы лыдын вылыс тшупӧда велӧдан уджтасъяс серти 80 морт, шӧр тшупӧда уджсикасӧ велӧдан уджтасъяс серти 60 морт, интернатура да ординатура уджтасъяс серти 40 морт, медицинскӧй да фармацевтическӧй специалистъяслысь пай, кодъяс велӧдчисны Коми Республикалы коланлун вылӧ торъя мога дасьтӧм серти, кодъяс пырисны удж вылӧ велӧдчӧм помалӧм бӧрын Коми Республикаса йӧзлысь дзоньвидзалун видзан системалӧн медицинскӧй либӧ фармацевтическӧй организацияясӧ, 95 прӧчент тшупӧдӧдз кыпӧдӧм, сы лыдын врачьяс – 90 прӧчент, шӧр медицина уджалысьяс - 98 прӧчент,</t>
    </r>
  </si>
  <si>
    <t xml:space="preserve">ГП: врачьясӧн могмӧдӧм (10 сюрс олысь вылӧ морт);                                                                                                 ПП6: торъя мог вылӧ дасьтӧм йӧз лыд (морт), сы лыдын: вылыс тӧдӧмлуна уджтасъяс серти (морт); шӧр тшупӧда уджсикасӧ велӧдан уджтасъяс серти (морт); интернатура да ординатура уджтасъяс серти (морт);
ПП6: медицинскӧй да фармацевтическӧй специалистъяслӧн пай, кодъяс велӧдчисны Коми Республикалы коланлун вылӧ торъя мога дасьтӧм серти, кодъяс пырисны удж вылӧ велӧдчӧм помалӧм бӧрын Коми Республикаса йӧзлысь дзоньвидзалун видзан системалӧн медицинскӧй либӧ фармацевтическӧй организацияясӧ (прӧчентъясӧн), сы лыдын:
врачьяс (прӧчентъясӧн);
шӧр медицина персонал (прӧчентъясӧн);
ПП6: Коми Республикаса олӧмӧ пӧртысь власьт органъяс улӧ пырысь уджсикасӧ велӧдан медицинскӧй организацияясын бюджетнӧй места лыд (единица);
ПП6: Коми Республикаса олӧмӧ пӧртысь власьт органъяс улӧ пырысь уджсикасӧ велӧдан медицинскӧй организацияясын небюджетнӧй места лыд (единица);
ПП6: Коми Республикаса олӧмӧ пӧртысь власьт органъяс улӧ пырысь уджсикасӧ велӧдан медицинскӧй организацияясын бюджетнӧй да небюджетнӧй места лыд лӧсялӧм (единица); </t>
  </si>
  <si>
    <r>
      <t xml:space="preserve">Коми Республикаса олӧмӧ пӧртысь власьт органъяс улӧ пырысь уджсикасӧ велӧдан медицинскӧй организацияясын бюджетнӧй места лыд 350 места тшупӧдын, небюджетнӧй места лыд 75 места тшупӧдын кольӧм, бюджетнӧй да небюджетнӧй места лыд </t>
    </r>
    <r>
      <rPr>
        <sz val="16"/>
        <color indexed="18"/>
        <rFont val="Times New Roman"/>
        <family val="1"/>
      </rPr>
      <t>21 : 79</t>
    </r>
    <r>
      <rPr>
        <sz val="16"/>
        <color indexed="18"/>
        <rFont val="Times New Roman"/>
        <family val="1"/>
      </rPr>
      <t xml:space="preserve"> тшупӧдын </t>
    </r>
    <r>
      <rPr>
        <sz val="16"/>
        <color indexed="18"/>
        <rFont val="Times New Roman"/>
        <family val="1"/>
      </rPr>
      <t>лӧсьӧдӧм</t>
    </r>
    <r>
      <rPr>
        <sz val="16"/>
        <rFont val="Times New Roman"/>
        <family val="1"/>
      </rPr>
      <t xml:space="preserve">, </t>
    </r>
    <r>
      <rPr>
        <sz val="16"/>
        <color indexed="18"/>
        <rFont val="Times New Roman"/>
        <family val="1"/>
      </rPr>
      <t xml:space="preserve">шӧр медицинскӧй да фармацевтическӧй тӧдӧмлунъясӧн специалист лыд, кодъяс помалісны Коми Республикаса олӧмӧ пӧртысь власьт органъяс улӧ пырысь уджсикасӧ велӧдан медицинскӧй организацияяс, 280 морт тшупӧдын </t>
    </r>
    <r>
      <rPr>
        <sz val="16"/>
        <color indexed="18"/>
        <rFont val="Times New Roman"/>
        <family val="1"/>
      </rPr>
      <t>кольӧм</t>
    </r>
    <r>
      <rPr>
        <sz val="16"/>
        <color indexed="18"/>
        <rFont val="Times New Roman"/>
        <family val="1"/>
      </rPr>
      <t xml:space="preserve"> </t>
    </r>
  </si>
  <si>
    <t xml:space="preserve">ПП6: шӧр медицинскӧй да фармацевтическӧй тӧдӧмлунъясӧн специалист лыд, кодъяс помалісны Коми Республикаса олӧмӧ пӧртысь власьт органъяс улӧ пырысь уджсикасӧ велӧдан медицинскӧй организацияяс (морт)
                   </t>
  </si>
  <si>
    <t>168.</t>
  </si>
  <si>
    <r>
      <t xml:space="preserve">Шӧр мероприятие 6.0502: </t>
    </r>
    <r>
      <rPr>
        <sz val="14"/>
        <color indexed="18"/>
        <rFont val="Times New Roman"/>
        <family val="1"/>
      </rPr>
      <t>Учреждениеясса юрнуӧдысьясӧс резервӧ пыртӧм, найӧс велӧдӧм</t>
    </r>
  </si>
  <si>
    <r>
      <t xml:space="preserve">10 сюрс олысь вылӧ врачьясӧн могмӧдӧм 39,5 абу этшаджык тшупӧдӧдз кыпӧдӧм, </t>
    </r>
    <r>
      <rPr>
        <sz val="16"/>
        <color indexed="18"/>
        <rFont val="Times New Roman"/>
        <family val="1"/>
      </rPr>
      <t>дзоньвидзалун видзан организацияяслӧн веськӧдлан персонал лыдысь специалистъяслысь пай, кодъясӧс велӧдісны дзоньвидзалун видзӧмӧн веськӧдлӧм котыртӧм бурмӧдан юалӧмъяс кузя, 2,4 пӧв кыпӧдӧм</t>
    </r>
  </si>
  <si>
    <t xml:space="preserve">ГП: врачьясӧн могмӧдӧм (10 сюрс олысь вылӧ морт);                                                                                          ПП6: дзоньвидзалун видзан организацияяслӧн веськӧдлан персонал лыдысь специалистъяслӧн пай, кодъясӧс велӧдісны дзоньвидзалун видзӧмӧн веськӧдлӧм котыртӧм бурмӧдан юалӧмъяс кузя (прӧчентъясӧн) </t>
  </si>
  <si>
    <t>“Лекарствоясӧн могмӧдан система, сы лыдын амбулаторнӧй условиеясын, бурмӧдӧм” 7 уджтасув</t>
  </si>
  <si>
    <r>
      <t xml:space="preserve">1 мог. </t>
    </r>
    <r>
      <rPr>
        <sz val="14"/>
        <color indexed="18"/>
        <rFont val="Times New Roman"/>
        <family val="1"/>
      </rPr>
      <t>Амбулаторнӧя кокньӧд босьтысь торъя категорияа гражданаӧс лекарствоясӧн могмӧдан система бурмӧдӧм</t>
    </r>
  </si>
  <si>
    <t>169.</t>
  </si>
  <si>
    <r>
      <t>Шӧр мероприятие 7.0101: К</t>
    </r>
    <r>
      <rPr>
        <sz val="14"/>
        <color indexed="18"/>
        <rFont val="Times New Roman"/>
        <family val="1"/>
      </rPr>
      <t>окньӧд босьтысь гражданаӧс лекарствоясӧн могмӧдӧм кузя мониторинг нуӧдӧм бурмӧдӧм вылӧ уджтас прӧдукт лӧсьӧдӧм да пыртӧм</t>
    </r>
  </si>
  <si>
    <t xml:space="preserve">3,3 во вылӧ виччысяна оландыр содӧм,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99,97 прӧчентӧдз, лимфоиднӧй, кроветворнӧй да на кодь тканьяслӧн лёк пыкӧсъясӧн, гемофилияӧн, муковисцидозӧн, гипофизарнӧй нанизмӧн, Гоше висьӧмӧн,  рассеяннӧй склерозӧн висьысьясӧс бурдӧдӧм вылӧ, а сідзжӧ органъяс да (либӧ) тканьяс вежӧм бӧрын лекарство препаратъясӧн 100 прӧчентӧдз, кокньӧд босьтысь гражданаӧс дінмулӧн кывкутана тшупӧда лекарство препаратъясӧн, медицина тӧдчанлуна кӧлуйӧн, а сідзжӧ специализируйтӧм бурдӧдан сёянӧн 99 прӧчентӧдз, шоча паныдасьлан (орфаннӧй) висьӧмъясӧн нёрпалысь гражданаӧс бурдӧдӧм вылӧ лекарство препаратъясӧн коланлун 97 прӧчентӧдз могмӧдан тшупӧд кыпӧдӧм </t>
  </si>
  <si>
    <t>демография серпас лёкмӧм, виччысяна оландыр чинӧм, кокньӧд босьтысь категория гражданаӧс лекарствоӧн могмӧдан бурлун чинӧм</t>
  </si>
  <si>
    <t xml:space="preserve">ГП: чужигӧн виччысяна оландыр (во);                                                                                                                          ПП7: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могмӧдӧм (прӧчентъясӧн);
ПП7:  лимфоиднӧй, кроветворнӧй да на кодь тканьяслӧн лёк пыкӧсъясӧн, гемофилияӧн, муковисцидозӧн, гипофизарнӧй нанизмӧн, Гоше висьӧмӧн,  рассеяннӧй склерозӧн висьысьясӧс бурдӧдӧм вылӧ, а сідзжӧ органъяс да (либӧ) тканьяс вежӧм бӧрын лекарство препаратъясӧн могмӧдӧм (прӧчентъясӧн);
ПП7: кокньӧд босьтысь гражданаӧс дінмулӧн кывкутана тшупӧда лекарство препаратъясӧн, медицина тӧдчанлуна кӧлуйӧн, а сідзжӧ специализируйтӧм бурдӧдан сёянӧн коланлун могмӧдӧм (прӧчентъясӧн);
ПП7: шоча паныдасьлан (орфаннӧй) висьӧмъясӧн нёрпалысь гражданаӧс бурдӧдӧм вылӧ лекарство препаратъясӧн могмӧдан тшупӧд (прӧчентъясӧн)
</t>
  </si>
  <si>
    <t>170.</t>
  </si>
  <si>
    <r>
      <t xml:space="preserve">Шӧр мероприятие 7.0102:  </t>
    </r>
    <r>
      <rPr>
        <sz val="14"/>
        <color indexed="18"/>
        <rFont val="Times New Roman"/>
        <family val="1"/>
      </rPr>
      <t>Коми Республикаса аптекаяс везйын лекарствояс юклӧм да выльысь юклӧм кузя уполномочитӧм фарморганизациякӧд ӧтувъя логистическӧй удж водзмӧстчӧдӧм</t>
    </r>
  </si>
  <si>
    <t>3,3 во вылӧ виччысяна оландыр содӧм,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99,97 прӧчентӧдз, лимфоиднӧй, кроветворнӧй да на кодь тканьяслӧн лёк пыкӧсъясӧн, гемофилияӧн, муковисцидозӧн, гипофизарнӧй нанизмӧн, Гоше висьӧмӧн,  рассеяннӧй склерозӧн висьысьясӧс бурдӧдӧм вылӧ, а сідзжӧ органъяс да (либӧ) тканьяс вежӧм бӧрын лекарство препаратъясӧн 100 прӧчентӧдз, кокньӧд босьтысь гражданаӧс дінмулӧн кывкутана тшупӧда лекарство препаратъясӧн, медицина тӧдчанлуна кӧлуйӧн, а сідзжӧ специализируйтӧм бурдӧдан сёянӧн 99 прӧчентӧдз, шоча паныдасьлан (орфаннӧй) висьӧмъясӧн нёрпалысь гражданаӧс бурдӧдӧм вылӧ лекарство препаратъясӧн коланлун 97 прӧчентӧдз могмӧдан тшупӧд кыпӧдӧм</t>
  </si>
  <si>
    <t xml:space="preserve">ГП: чужигӧн виччысяна оландыр (во);                                                                                                                        ПП7: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могмӧдӧм (прӧчентъясӧн);
ПП7:  лимфоиднӧй, кроветворнӧй да на кодь тканьяслӧн лёк пыкӧсъясӧн, гемофилияӧн, муковисцидозӧн, гипофизарнӧй нанизмӧн, Гоше висьӧмӧн,  рассеяннӧй склерозӧн висьысьясӧс бурдӧдӧм вылӧ, а сідзжӧ органъяс да (либӧ) тканьяс вежӧм бӧрын лекарство препаратъясӧн могмӧдӧм (прӧчентъясӧн);
ПП7: кокньӧд босьтысь гражданаӧс дінмулӧн кывкутана тшупӧда лекарство препаратъясӧн, медицина тӧдчанлуна кӧлуйӧн, а сідзжӧ специализируйтӧм бурдӧдан сёянӧн коланлун могмӧдӧм (прӧчентъясӧн);
ПП7: шоча паныдасьлан (орфаннӧй) висьӧмъясӧн нёрпалысь гражданаӧс бурдӧдӧм вылӧ лекарство препаратъясӧн могмӧдан тшупӧд (прӧчентъясӧн)
</t>
  </si>
  <si>
    <t>171.</t>
  </si>
  <si>
    <r>
      <t xml:space="preserve">Шӧр мероприятие 7.0103: </t>
    </r>
    <r>
      <rPr>
        <sz val="11"/>
        <color indexed="18"/>
        <rFont val="Times New Roman"/>
        <family val="1"/>
      </rPr>
      <t>“</t>
    </r>
    <r>
      <rPr>
        <sz val="14"/>
        <color indexed="18"/>
        <rFont val="Times New Roman"/>
        <family val="1"/>
      </rPr>
      <t>Медицина промышленносьт сӧвмӧдӧмын канму отсӧг сетӧм йылысь да йӧзӧс да дзоньвидзалун видзан учреждениеяс лекарство средствоясӧн да медицина кӧлуйӧн могмӧдӧм бурмӧдӧм йылысь” Россия Федерацияса Веськӧдлан котырлӧн 1994 во сора тӧлысь 30 лунся 890 №-а шуӧм збыльмӧдігӧн Коми Республикаса йӧзӧс лекарствоясӧн кокньӧд серти могмӧдӧм збыльмӧдӧм кузя рӧскод вӧчӧм</t>
    </r>
  </si>
  <si>
    <t>3,3 во вылӧ виччысяна оландыр содӧм, кокньӧд босьтысь гражданаӧс дінмулӧн кывкутана тшупӧда лекарство препаратъясӧн, медицина тӧдчанлуна кӧлуйӧн, а сідзжӧ специализируйтӧм бурдӧдан сёянӧн коланлунсӧ 99 прӧчентӧдз могмӧдан тшупӧд кыпӧдӧм</t>
  </si>
  <si>
    <t xml:space="preserve">ГП: чужигӧн виччысяна оландыр (во);                                             
ПП8: кокньӧд босьтысь гражданаӧс дінмулӧн кывкутана тшупӧда лекарство препаратъясӧн, медицина тӧдчанлуна кӧлуйӧн, а сідзжӧ специализируйтӧм бурдӧдан сёянӧн коланлун могмӧдӧм (прӧчентъясӧн)
</t>
  </si>
  <si>
    <t>172.</t>
  </si>
  <si>
    <r>
      <t>Шӧр мероприятие 7.0104: Л</t>
    </r>
    <r>
      <rPr>
        <sz val="14"/>
        <color indexed="18"/>
        <rFont val="Times New Roman"/>
        <family val="1"/>
      </rPr>
      <t>екарство препаратъясӧн, медицина кӧлуйӧн, а сідзжӧ вермытӧм челядьлы специализируйтӧм бурдӧдан сёянӧн могмӧдӧм кузя гражданалӧн торъя категорияяслы канмусянь социальнӧй отсӧг сетӧм (“Канмусянь социальнӧй отсӧг сетӧм йылысь” 1999 во сора тӧлысь 17 лунся 178-ФЗ №-а Федеральнӧй оланпас серти)</t>
    </r>
  </si>
  <si>
    <t xml:space="preserve">3,3 во вылӧ виччысяна оландыр содӧм,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коланлунсӧ 99,97 прӧчентӧдз  могмӧдан тшупӧд кыпӧдӧм </t>
  </si>
  <si>
    <t>ГП: чужигӧн виччысяна оландыр (во);                                                                                                                        ПП7: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могмӧдӧм (прӧчентъясӧн)</t>
  </si>
  <si>
    <t>173.</t>
  </si>
  <si>
    <r>
      <t xml:space="preserve">Шӧр мероприятие 7.0105: </t>
    </r>
    <r>
      <rPr>
        <sz val="14"/>
        <color indexed="18"/>
        <rFont val="Times New Roman"/>
        <family val="1"/>
      </rPr>
      <t xml:space="preserve">Йӧзӧс, кодъяс висьӧны гемофилияӧн, муковисцидозӧн, гипофизарнӧй нанизмӧн, Гоше висьӧмӧн, лимфоиднӧй, кроветворнӧй да на кодь тканьяслӧн  лёк пыкӧсъясӧн,  рассеяннӧй склерозӧн, органъяс да (либӧ) тканьяс вежӧм бӧрын лекарство препаратъясӧн могмӧдӧм котыртӧм
</t>
    </r>
  </si>
  <si>
    <t xml:space="preserve">3,3 во вылӧ виччысяна оландыр содӧм, лимфоиднӧй, кроветворнӧй да на кодь тканьяслӧн лёк пыкӧсъясӧн, гемофилияӧн, муковисцидозӧн, гипофизарнӧй нанизмӧн, Гоше висьӧмӧн,  рассеяннӧй склерозӧн висьысьясӧс бурдӧдӧм вылӧ, а сідзжӧ органъяс да (либӧ) тканьяс вежӧм бӧрын лекарство препаратъясӧн коланлунсӧ 100 прӧчентӧдз могмӧдан тшупӧд кыпӧдӧм </t>
  </si>
  <si>
    <t xml:space="preserve">ГП: чужигӧн виччысяна оландыр (во);                                             
ПП7:  лимфоиднӧй, кроветворнӧй да на кодь тканьяслӧн лёк пыкӧсъясӧн, гемофилияӧн, муковисцидозӧн, гипофизарнӧй нанизмӧн, Гоше висьӧмӧн,  рассеяннӧй склерозӧн висьысьясӧс бурдӧдӧм вылӧ, а сідзжӧ органъяс да (либӧ) тканьяс вежӧм бӧрын лекарство препаратъясӧн могмӧдӧм (прӧчентъясӧн)
</t>
  </si>
  <si>
    <t>174.</t>
  </si>
  <si>
    <r>
      <t>Шӧр мероприятие 7.0106: Й</t>
    </r>
    <r>
      <rPr>
        <sz val="14"/>
        <color indexed="18"/>
        <rFont val="Times New Roman"/>
        <family val="1"/>
      </rPr>
      <t>ӧзӧс, кодъяс висьӧны мортлӧн иммунодефицит да В да С гепатитъяслӧн вирусъясӧн, висьӧмъясысь видзӧм да бурдӧдӧм вылӧ антивируснӧй препаратъяс ньӧбӧм сьӧмӧн могмӧдӧм (“Йӧзӧс, кодъяс висьӧны мортлӧн иммунодефицит да В да С гепатитъяслӧн вирусъясӧн, висьӧмъясысь видзӧм, тӧдмалӧм да бурдӧдӧм вылӧ диагностируйтан средствояс да антивируснӧй препаратъяс ньӧбӧм сьӧмӧн могмӧдӧм йылысь” Россия Федерацияса Веськӧдлан котырлӧн 2012 вося ӧшым тӧлысь 27 лунся 1438 №-а шуӧм серти)</t>
    </r>
  </si>
  <si>
    <t xml:space="preserve">ГП: чужигӧн виччысяна оландыр (во);                                                                                                                          ПП7: торъя категорияа гражданаӧс колана лекарство препаратъясӧн да медицина тӧдчанлуна кӧлуйӧн, а сідзжӧ вермытӧм челядьӧс специализируйтӧм бурдӧдан сёянӧн могмӧдӧм (прӧчентъясӧн)
</t>
  </si>
  <si>
    <t>175.</t>
  </si>
  <si>
    <r>
      <t>Шӧр мероприятие 7.0107: Л</t>
    </r>
    <r>
      <rPr>
        <sz val="14"/>
        <color indexed="18"/>
        <rFont val="Times New Roman"/>
        <family val="1"/>
      </rPr>
      <t>екарство средствояс примитӧм, видзӧм да вайӧм котыртӧмсӧ бурмӧдӧм</t>
    </r>
  </si>
  <si>
    <t>3,3 во вылӧ виччысяна оландыр содӧм</t>
  </si>
  <si>
    <r>
      <t xml:space="preserve">2 мог. </t>
    </r>
    <r>
      <rPr>
        <sz val="16"/>
        <color indexed="18"/>
        <rFont val="Times New Roman"/>
        <family val="1"/>
      </rPr>
      <t>Коми Республикаса йӧзлысь дзоньвидзалун видзан канму учреждениеяс лекарствоясӧн могмӧдан система бурмӧдӧм</t>
    </r>
  </si>
  <si>
    <t>176.</t>
  </si>
  <si>
    <r>
      <t>Шӧр мероприятие 7.0201: Л</t>
    </r>
    <r>
      <rPr>
        <sz val="14"/>
        <color indexed="18"/>
        <rFont val="Times New Roman"/>
        <family val="1"/>
      </rPr>
      <t>екарство средствояслӧн качество да найӧс сертифицируйтӧм бӧрся видзӧдӧмсӧ бурмӧдӧм</t>
    </r>
  </si>
  <si>
    <t xml:space="preserve">3,3 во вылӧ виччысяна оландыр содӧм, Коми Республикаса йӧзлысь дзоньвидзалун видзан канму учреждениеясӧ воӧм лекарство препаратъяслы да медицина кӧлуйлы качество да видзчысянлун могмӧдантшупӧд кыпӧдӧм </t>
  </si>
  <si>
    <t>ГП: чужигӧн виччысяна оландыр (во);                                                                                                                          ПП7: Коми Республикаса йӧзлысь дзоньвидзалун видзан канму учреждениеясӧ воӧм лекарство препаратъяслы да медицина кӧлуйлы качество да видзчысянлун тшупӧд могмӧдӧм (Коми Республикаса йӧзлысь дзоньвидзалун видзан канму учреждениеясӧ воӧм лекарство препаратъяслӧн да медицина кӧлуйлӧн пай, кутшӧмъяс серти нуӧдӧма качество да видзчысянлун экспертиза)</t>
  </si>
  <si>
    <t>177.</t>
  </si>
  <si>
    <r>
      <t>Шӧр мероприятие 7.0202: В</t>
    </r>
    <r>
      <rPr>
        <sz val="14"/>
        <color indexed="18"/>
        <rFont val="Times New Roman"/>
        <family val="1"/>
      </rPr>
      <t>исьысьясӧс нуӧдӧмын ӧнія клиническӧй вӧзйӧмъяс (сёрнигижӧдъяс) пыртӧм</t>
    </r>
  </si>
  <si>
    <t>178.</t>
  </si>
  <si>
    <r>
      <t>Шӧр мероприятие 7.0203: Э</t>
    </r>
    <r>
      <rPr>
        <sz val="14"/>
        <color indexed="18"/>
        <rFont val="Times New Roman"/>
        <family val="1"/>
      </rPr>
      <t>скӧдан медициналӧн юрподувъяс улын медицина серти вӧдитчӧм вылӧ лекарствояс тӧлкӧн видзӧм йылысь юӧр тӧдӧм медицинаса уджалысьяслысь кыпӧдӧм</t>
    </r>
  </si>
  <si>
    <t>179.</t>
  </si>
  <si>
    <r>
      <t>Шӧр мероприятие 7.0204: А</t>
    </r>
    <r>
      <rPr>
        <sz val="14"/>
        <color indexed="18"/>
        <rFont val="Times New Roman"/>
        <family val="1"/>
      </rPr>
      <t xml:space="preserve">нтибактериальнӧй да противотуберкулёзнӧй лекарствояс (мӧд радсӧ), кутшӧмъясӧн вӧдитчӧны туберкулёзӧн висьысьясӧс бурдӧдігӧн, кодъяслӧн висьӧмсӧ кыпӧдысьыс зумыд уна сикас лекарство дорӧ, да туберкулёз микобактериялысь кылӧмсӧ тӧдмалӧм вылӧ да туберкулёзӧн висьысьясӧс, кодъяслӧн висьӧмсӧ кыпӧдысьыс зумыд уна сикас лекарство дорӧ, бурдӧдӧмын мониторинг нуӧдӧм вылӧ диагностируйтан средствояс ньӧбӧм
</t>
    </r>
  </si>
  <si>
    <r>
      <t xml:space="preserve">3 мог. </t>
    </r>
    <r>
      <rPr>
        <sz val="16"/>
        <color indexed="18"/>
        <rFont val="Times New Roman"/>
        <family val="1"/>
      </rPr>
      <t>Сиктса олан пунктъясын олысьясӧс лекарствоясӧн могмӧдӧм котыртӧмсӧ бурмӧдӧм</t>
    </r>
  </si>
  <si>
    <t>180.</t>
  </si>
  <si>
    <r>
      <t>Шӧр мероприятие 7.0301: Б</t>
    </r>
    <r>
      <rPr>
        <sz val="14"/>
        <color indexed="18"/>
        <rFont val="Times New Roman"/>
        <family val="1"/>
      </rPr>
      <t>окын сулалан медицина организацияяслӧн подразделениеяслысь (амбулаторияяслысь, фельдшер да фельдшер-акушер пунктъяслысь, ӧтувъя врачебнӧй (семейнӧй) практика шӧринъяслысь), кутшӧмъяс сулалӧны сиктса овмӧдчӧминъясын, кӧні абуӧсь аптека организацияяс, материально-техническӧй подувнысӧ бурмӧдӧм, медицина серти вӧдитчӧм вылӧ лекарствоясӧн торйӧн вузалӧм котыртӧм вылӧ колана тшупӧдӧдз</t>
    </r>
  </si>
  <si>
    <t xml:space="preserve">3,3 во вылӧ виччысяна оландыр содӧм,  бокын сулалан медицина организацияяслӧн подразделениеяслысь (амбулаторияяслысь, фельдшер да фельдшер-акушер пунктъяслысь, ӧтувъя врачебнӧй (семейнӧй) практика шӧринъяслысь (отделениеяслысь) пай, кутшӧмъяс сулалӧны сиктса овмӧдчӧминъясын, кӧні абуӧсь аптека организацияяс, кодъяслӧн эм фармацевтическӧй удж нуӧдӧм вылӧ лицензия, татшӧм организацияяслӧн став лыд серти 100 прӧчентӧдз кыпӧдӧм </t>
  </si>
  <si>
    <t>сиктса олысьяс пӧвстын демография серпас лёкмӧм, виччысяна оландыр чинӧм</t>
  </si>
  <si>
    <t xml:space="preserve">ГП: чужигӧн виччысяна оландыр (во);                                                                                                                          ПП7: бокын сулалан медицина организацияяслӧн подразделениеяс (амбулаторияяс, фельдшер да фельдшер-акушер пунктъяс, ӧтувъя врачебнӧй (семейнӧй) практика шӧринъяс (отделениеяс) пай, кутшӧмъяс сулалӧны сиктса овмӧдчӧминъясын, кӧні абуӧсь аптека организацияяс, кодъяслӧн эм фармацевтическӧй удж нуӧдӧм вылӧ лицензия, татшӧм организацияяслӧн став лыд серти (прӧчентъясӧн)                                       </t>
  </si>
  <si>
    <t>181.</t>
  </si>
  <si>
    <r>
      <t>Шӧр мероприятие 7.0302: Л</t>
    </r>
    <r>
      <rPr>
        <sz val="14"/>
        <color indexed="18"/>
        <rFont val="Times New Roman"/>
        <family val="1"/>
      </rPr>
      <t>екарство препарат лыддьӧг ыдждӧдӧм, кутшӧмъясӧс позьӧ вузавны сӧмын медицина организацияяслы, кодъяслӧн эм фармацевтическӧй удж вылӧ лицензия да найӧ сулалӧны сиктса овмӧдчӧминъясын, кӧні абуӧсь аптека организацияяс</t>
    </r>
  </si>
  <si>
    <t xml:space="preserve">3,3 во вылӧ виччысяна оландыр содӧм, бокын сулалан медицина организацияяслӧн подразделениеяслысь (амбулаторияяслысь, фельдшер да фельдшер-акушер пунктъяслысь, ӧтувъя врачебнӧй (семейнӧй) практика шӧринъяслысь (отделениеяслысь) пай, кутшӧмъяс сулалӧны сиктса овмӧдчӧминъясын, кӧні абуӧсь аптека организацияяс, кодъяслӧн эм фармацевтическӧй удж нуӧдӧм вылӧ лицензия, татшӧм организацияяслӧн став лыд серти 100 прӧчентӧдз кыпӧдӧм  </t>
  </si>
  <si>
    <t xml:space="preserve">ГП: чужигӧн виччысяна оландыр (во);                                                                                                                        ПП7: бокын сулалан медицина организацияяслӧн подразделениеяс (амбулаторияяс, фельдшер да фельдшер-акушер пунктъяс, ӧтувъя врачебнӧй (семейнӧй) практика шӧринъяс (отделениеяс) пай, кутшӧмъяс сулалӧны сиктса овмӧдчӧминъясын, кӧні абуӧсь аптека организацияяс, кодъяслӧн эм фармацевтическӧй удж нуӧдӧм вылӧ лицензия, татшӧм организацияяслӧн став лыд серти (прӧчентъясӧн)                                       </t>
  </si>
  <si>
    <r>
      <t xml:space="preserve">8 уджтасув. </t>
    </r>
    <r>
      <rPr>
        <b/>
        <sz val="16"/>
        <color indexed="18"/>
        <rFont val="Times New Roman"/>
        <family val="1"/>
      </rPr>
      <t>“Канму уджтас збыльмӧдӧм могмӧдӧм”</t>
    </r>
  </si>
  <si>
    <r>
      <t xml:space="preserve">1 мог. </t>
    </r>
    <r>
      <rPr>
        <i/>
        <sz val="16"/>
        <color indexed="18"/>
        <rFont val="Times New Roman"/>
        <family val="1"/>
      </rPr>
      <t>Коми Республикаса олӧмӧ пӧртысь власьт органъясӧн Уджтасса мероприятиеяс збыльмӧдӧмӧн веськӧдлӧм</t>
    </r>
  </si>
  <si>
    <t>182.</t>
  </si>
  <si>
    <r>
      <t xml:space="preserve">Шӧр мероприятие 8.0101: </t>
    </r>
    <r>
      <rPr>
        <sz val="14"/>
        <color indexed="8"/>
        <rFont val="Times New Roman"/>
        <family val="1"/>
      </rPr>
      <t>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 (шӧр аппарат)</t>
    </r>
  </si>
  <si>
    <t>Уджтасса могъяс збыльмӧдӧм да Уджтасӧн да уджтасувъясӧн урчитӧм петкӧдласъяссӧ (индикаторъяссӧ) 95 прӧчентысь абу этшаджык тшупӧдӧдз воӧдӧм</t>
  </si>
  <si>
    <t>Уджтас мероприятиеяс збыльмӧдтӧм да торъя мога индикаторъяс шедӧдтӧм</t>
  </si>
  <si>
    <t>ПП8: уджтаслысь да уджтасувъяслысь петкӧдласъяс (индикаторъяс) быд вося шедӧдан тшупӧд (прӧчентъясӧн)</t>
  </si>
  <si>
    <t>183.</t>
  </si>
  <si>
    <r>
      <t>Шӧр мероприятие 8.0102: М</t>
    </r>
    <r>
      <rPr>
        <sz val="14"/>
        <color indexed="8"/>
        <rFont val="Times New Roman"/>
        <family val="1"/>
      </rPr>
      <t>едицина оборудование да санитарнӧй автотранспорт ӧтувтӧмӧн ньӧбӧм</t>
    </r>
  </si>
  <si>
    <t>Уджтас мероприятиеяс, кутшӧмъяслы колӧ меститны заказ, збыльмӧдны вермытӧмлун</t>
  </si>
  <si>
    <t>184.</t>
  </si>
  <si>
    <r>
      <t>Шӧр мероприятие 8.0103: Г</t>
    </r>
    <r>
      <rPr>
        <sz val="14"/>
        <color indexed="18"/>
        <rFont val="Times New Roman"/>
        <family val="1"/>
      </rPr>
      <t>ражданалысь дзоньвидзалун видзан юкӧнын Россия Федерациялысь уджмогъяс збыльмӧдӧм</t>
    </r>
  </si>
  <si>
    <t>Ёрдлӧн помшуӧм серти дзоньвидзалун видзан учреждениеяслысь удж дугӧдӧм</t>
  </si>
  <si>
    <t>185.</t>
  </si>
  <si>
    <r>
      <t>Шӧр мероприятие 8.0104: Й</t>
    </r>
    <r>
      <rPr>
        <sz val="14"/>
        <color indexed="18"/>
        <rFont val="Times New Roman"/>
        <family val="1"/>
      </rPr>
      <t>ӧзлысь дзоньвидзалун видзан канму учреждениеясӧн, кутшӧмъяс могмӧдӧны йӧзлысь дзоньвидзалун видзан юкӧнын услугаяс сетӧм, канму услугаяс сетӧм (уджъяс вӧчӧм)</t>
    </r>
  </si>
  <si>
    <t>186.</t>
  </si>
  <si>
    <r>
      <t>Шӧр мероприятие 8.0105: В</t>
    </r>
    <r>
      <rPr>
        <sz val="14"/>
        <color indexed="18"/>
        <rFont val="Times New Roman"/>
        <family val="1"/>
      </rPr>
      <t>едомствоувса казённӧй учреждениеяслысь уджсӧ могмӧдӧм</t>
    </r>
  </si>
  <si>
    <t>187.</t>
  </si>
  <si>
    <r>
      <t xml:space="preserve">Шӧр мероприятие 8.0106: </t>
    </r>
    <r>
      <rPr>
        <sz val="14"/>
        <color indexed="18"/>
        <rFont val="Times New Roman"/>
        <family val="1"/>
      </rPr>
      <t>У</t>
    </r>
    <r>
      <rPr>
        <sz val="15"/>
        <color indexed="18"/>
        <rFont val="Times New Roman"/>
        <family val="1"/>
      </rPr>
      <t>джтас збыльмӧдӧмын да сыӧн веськӧдлӧмын юалӧмъяс кузя ведомствояс костын уджсӧ бурмӧдӧм</t>
    </r>
  </si>
  <si>
    <t>188.</t>
  </si>
  <si>
    <r>
      <t xml:space="preserve">Шӧр мероприятие 8.0107: </t>
    </r>
    <r>
      <rPr>
        <sz val="11"/>
        <color indexed="18"/>
        <rFont val="Times New Roman"/>
        <family val="1"/>
      </rPr>
      <t>“</t>
    </r>
    <r>
      <rPr>
        <sz val="15"/>
        <color indexed="18"/>
        <rFont val="Times New Roman"/>
        <family val="1"/>
      </rPr>
      <t>Й</t>
    </r>
    <r>
      <rPr>
        <sz val="14"/>
        <color indexed="18"/>
        <rFont val="Times New Roman"/>
        <family val="1"/>
      </rPr>
      <t xml:space="preserve">ӧзлысь дзоньвидзалун видзӧм сӧвмӧдӧм” Россия Федерацияса канму уджтаслысь торъя мероприятиеяс збыльмӧдӧм
</t>
    </r>
  </si>
  <si>
    <r>
      <t xml:space="preserve">2 мог. </t>
    </r>
    <r>
      <rPr>
        <i/>
        <sz val="16"/>
        <color indexed="18"/>
        <rFont val="Times New Roman"/>
        <family val="1"/>
      </rPr>
      <t>Коми Республикаса канму учреждениеясӧн, кодъяс серти  Коми Республикаса йӧзлысь дзоньвидзалун видзан министерство збыльмӧдӧ учредительлысь удж да уджмогъяс, Уджтасса мероприятиеяс збыльмӧдӧмӧн веськӧдлӧм</t>
    </r>
  </si>
  <si>
    <t>189.</t>
  </si>
  <si>
    <r>
      <t>Шӧр мероприятие 8.0201: У</t>
    </r>
    <r>
      <rPr>
        <sz val="14"/>
        <color indexed="18"/>
        <rFont val="Times New Roman"/>
        <family val="1"/>
      </rPr>
      <t>джтӧм йӧзӧс медицинскӧя быть страхуйтӧм вылӧ медицинскӧя быть страхуйтан Федеральнӧй фондлӧн сьӧмкудлы мукӧд сьӧмкудкостса трансферт</t>
    </r>
  </si>
  <si>
    <t>дон босьттӧг медицина отсӧг сетан канму гарантияясӧн уджтас серти канму заданиеяс 95 прӧчентысь абу этшаджык тшупӧдын збыльмӧдӧм</t>
  </si>
  <si>
    <t>Канму гарантияяслӧн Уджтас серти йӧзлы медицина отсӧг сетны вермытӧмлун</t>
  </si>
  <si>
    <t>ПП8: дон босьттӧг медицина отсӧг сетан канму гарантияяслӧн уджтас серти быд вося канму заданиеяс збыльмӧдан тшупӧд (прӧчентъясӧн)</t>
  </si>
  <si>
    <t>190.</t>
  </si>
  <si>
    <r>
      <t>Шӧр мероприятие 8.0202: М</t>
    </r>
    <r>
      <rPr>
        <sz val="14"/>
        <color indexed="18"/>
        <rFont val="Times New Roman"/>
        <family val="1"/>
      </rPr>
      <t>едицинскӧя быть страхуйтан подув уджтас пытшкын медицинскӧя быть страхуйтан мутасса уджтас збыльмӧдӧм вылӧ медицинскӧя быть страхуйтан Коми Республика мутасса фондлӧн сьӧмкудлы мукӧд сьӧмкудкостса трансферт</t>
    </r>
  </si>
  <si>
    <t>“Йӧзлысь дзоньвидзалун видзӧмын канмуа-аспом уджъёртасьӧм сӧвмӧдӧм” 9 уджтасув</t>
  </si>
  <si>
    <r>
      <t xml:space="preserve">1 мог. </t>
    </r>
    <r>
      <rPr>
        <i/>
        <sz val="16"/>
        <color indexed="18"/>
        <rFont val="Times New Roman"/>
        <family val="1"/>
      </rPr>
      <t>Дзоньвидзалун видзан инфраструктура сӧвмӧдӧмӧ инвестицияяс ышӧдӧм вылӧ условиеяс лӧсьӧдӧм</t>
    </r>
  </si>
  <si>
    <t>191.</t>
  </si>
  <si>
    <r>
      <t xml:space="preserve">Шӧр мероприятие 9.0101: </t>
    </r>
    <r>
      <rPr>
        <sz val="14"/>
        <color indexed="18"/>
        <rFont val="Times New Roman"/>
        <family val="1"/>
      </rPr>
      <t>Россия Федерацияса мукӧд субъектлӧн йӧзлысь дзоньвидзалун видзӧмын канмуа-аспом уджъёртасян проектъяс збыльмӧдӧмын опыт туялӧм</t>
    </r>
  </si>
  <si>
    <t>Коми Республикаса республиканскӧй сьӧмкудйысь сьӧм колана ногӧн видзӧм</t>
  </si>
  <si>
    <t>“Дзоньвидзалун видзӧм” юкӧн серти Коми Республикаса республиканскӧй сьӧмкудлӧн рӧскод содӧм</t>
  </si>
  <si>
    <t xml:space="preserve">ПП9: йӧзлысь дзоньвидзалун видзӧмын канмуа-аспом уджъёртасян балаяс збыльмӧдны артыштӧм йылысь материалъяс “Ӧтуввез” юӧртан да коммуникационнӧй везйӧ пыртан лыд (единица)
</t>
  </si>
  <si>
    <t>192.</t>
  </si>
  <si>
    <r>
      <t xml:space="preserve">Шӧр мероприятие 9.0102: </t>
    </r>
    <r>
      <rPr>
        <sz val="14"/>
        <color indexed="18"/>
        <rFont val="Times New Roman"/>
        <family val="1"/>
      </rPr>
      <t>Коми Республика мутасын Россия Федерацияса гражданалы дон босьттӧг медицина отсӧг сетан канму гарантияясӧн уджтас збыльмӧдӧмӧ аспом медицина организацияяс кыскан выль механизмъяс пыртӧм</t>
    </r>
  </si>
  <si>
    <t>193.</t>
  </si>
  <si>
    <r>
      <t>Шӧр мероприятие 9.0103: Й</t>
    </r>
    <r>
      <rPr>
        <sz val="14"/>
        <color indexed="18"/>
        <rFont val="Times New Roman"/>
        <family val="1"/>
      </rPr>
      <t>ӧзлысь дзоньвидзалун видзӧмын канмуа-аспом уджъёртасян балаяс йылысь юӧр «Ӧтуввез» юӧртан да телекоммуникационнӧй везйӧ пыртӧм</t>
    </r>
  </si>
  <si>
    <t xml:space="preserve">“Дзоньвидзалун видзӧм” юкӧн серти Коми Республикаса республиканскӧй сьӧмкудлӧн рӧскод содӧм  </t>
  </si>
  <si>
    <r>
      <t xml:space="preserve">2 мог. </t>
    </r>
    <r>
      <rPr>
        <i/>
        <sz val="16"/>
        <color indexed="18"/>
        <rFont val="Times New Roman"/>
        <family val="1"/>
      </rPr>
      <t>Йӧзлысь дзоньвидзалун видзан учреждениеяслысь, кодъяс пырӧны Коми Республикаса канму эмбурӧ, кодъяс бурмӧдӧны медицина отсӧг сетан качествосӧ, эмбурӧн вӧдитчӧмын эффективносьт кыпӧдӧм</t>
    </r>
  </si>
  <si>
    <t>194.</t>
  </si>
  <si>
    <r>
      <t xml:space="preserve">Шӧр мероприятие 9.0201: </t>
    </r>
    <r>
      <rPr>
        <sz val="14"/>
        <color indexed="18"/>
        <rFont val="Times New Roman"/>
        <family val="1"/>
      </rPr>
      <t xml:space="preserve">Сыктывкарын амбулаторнӧй диализ шӧрин котыртӧм кузя канмуа-аспом уджъёртасян проектын уджъёртӧс бӧрйӧм серти конкурснӧй да мукӧд процедура нуӧдӧм
</t>
    </r>
  </si>
  <si>
    <t xml:space="preserve">3,3 во вылӧ виччысяна оландыр содӧм, канмуа-аспом уджъёртасян условиеяс вылын аспом инвестицияяс кыскӧмӧн Сыктывкарын амбулаторнӧй диализ шӧринлысь удж котыртӧм </t>
  </si>
  <si>
    <t>вӧрк заместительнӧй терапияын нуждайтчысь висьысьяслы медицина отсӧг сетан качество да судзсянлун чинӧм</t>
  </si>
  <si>
    <t xml:space="preserve">ГП: чужигӧн виччысяна оландыр (во);
ПП9: дзоньвидзалун видзан юкӧнын вӧрзьӧдны позьтӧм эмбур объект лыд, кутшӧмъясӧс стрӧитӧма канмуа-аспом уджъёртасян условиеяс вылын аспом инвестицияяс кыскӧмӧн (единица)
</t>
  </si>
  <si>
    <t>195.</t>
  </si>
  <si>
    <r>
      <t xml:space="preserve">Шӧр мероприятие 9.0202: </t>
    </r>
    <r>
      <rPr>
        <sz val="14"/>
        <color indexed="18"/>
        <rFont val="Times New Roman"/>
        <family val="1"/>
      </rPr>
      <t>Сыктывкарын амбулаторнӧй диализ шӧрин котыртӧм кузя канмуа-аспом уджъёртасян проект олӧмӧ пӧртӧм бӧрся обязательствояс збыльмӧдан мониторинг да контроль нуӧдӧм</t>
    </r>
  </si>
  <si>
    <t xml:space="preserve">3,3 во вылӧ виччысяна оландыр содӧм,  канмуа-аспом уджъёртасян условиеяс вылын аспом инвестицияяс кыскӧмӧн Сыктывкарын амбулаторнӧй диализ шӧринлысь удж котыртӧм </t>
  </si>
  <si>
    <t xml:space="preserve">вӧрк заместительнӧй терапияын нуждайтчысь висьысьяслы медицина отсӧг сетан качество да судзсянлун чинӧм </t>
  </si>
  <si>
    <r>
      <t xml:space="preserve">10 уджтасув. </t>
    </r>
    <r>
      <rPr>
        <b/>
        <sz val="16"/>
        <color indexed="18"/>
        <rFont val="Times New Roman"/>
        <family val="1"/>
      </rPr>
      <t>“Йӧзлысь дзоньвидзалун видзӧмын информатизация сӧвмӧдӧм”.</t>
    </r>
  </si>
  <si>
    <r>
      <t xml:space="preserve">1 мог. </t>
    </r>
    <r>
      <rPr>
        <i/>
        <sz val="16"/>
        <color indexed="18"/>
        <rFont val="Times New Roman"/>
        <family val="1"/>
      </rPr>
      <t>Медицинаын юӧрӧн вежсигӧн электроннӧй документооборот система пыртӧм вылӧ, медицина услугаяс сетӧмын быд морт серти учёт нуӧдӧм вылӧ условиеяс, гражданинлы электроннӧй медицинскӧй карта нуӧдан да врач дорӧ электроннӧя гижӧдчӧм котыртан позянлунъяс бурмӧдӧм</t>
    </r>
  </si>
  <si>
    <t>196.</t>
  </si>
  <si>
    <r>
      <t xml:space="preserve">Шӧр мероприятие 10.0101: </t>
    </r>
    <r>
      <rPr>
        <sz val="14"/>
        <color indexed="18"/>
        <rFont val="Times New Roman"/>
        <family val="1"/>
      </rPr>
      <t>Юӧр видзан юкӧнын оланпастэчаслӧн корӧмъяс урчитӧмӧн медицина организацияяслысь компьютернӧй да телекоммуникационнӧй инфраструктурасӧ сӧвмӧдӧм</t>
    </r>
  </si>
  <si>
    <t>Комитет информатизации и связи Республики Коми</t>
  </si>
  <si>
    <t xml:space="preserve">2020 во кежлӧ пациентъяслӧн пай, кодъяслы нуӧдӧны  электроннӧй медицинскӧй картаяс, 85 прӧчентысь абу этшаджык содӧм </t>
  </si>
  <si>
    <t>Ставроссияса тенденцияясысь бокын дзоньвидзалун видзӧмын юӧра системаяс пыртан юкӧнын отрасль сӧвмӧдан ӧд чинӧм</t>
  </si>
  <si>
    <t>ПП10: пациентъяслӧн пай, кодъяслы нуӧдӧны электроннӧй медицинскӧй картаяс, став пациент лыд серти (прӧчентъясӧн)</t>
  </si>
  <si>
    <t>197.</t>
  </si>
  <si>
    <r>
      <t xml:space="preserve">Шӧр мероприятие 10.0102: Йӧзлысь </t>
    </r>
    <r>
      <rPr>
        <sz val="14"/>
        <color indexed="18"/>
        <rFont val="Times New Roman"/>
        <family val="1"/>
      </rPr>
      <t xml:space="preserve">дзоньвидзалун видзан юкӧнын ӧтувъя канму юӧр системалӧн дінму подсистема улӧ выль медицина организацияяс пыртӧм
</t>
    </r>
  </si>
  <si>
    <t xml:space="preserve"> 2020 во кежлӧ медицина организация лыд, кодъясӧс йитӧма дзоньвидзалун видзан юкӧнын канму юӧр системалӧн дінму системаув дорӧ, - 77,08 прӧчентысь абу этшаджык содӧм</t>
  </si>
  <si>
    <t>Медицина отсӧг сетан качество чинӧм, йӧзлы медицина услугаяс вылӧ коланлунсӧ могмӧдны вермытӧмлун</t>
  </si>
  <si>
    <t>ПП10: дзоньвидзалун видзан канму учреждениеяслӧн пай, кодъяс автоматизируйтӧмӧн гижӧдӧны врачлӧн приём вылӧ  Ӧтуввез да инфоматъяс отсӧгӧн, дзоньвидзалун видзан канму учреждениеяслӧн став лыд серти (прӧчентъясӧн)</t>
  </si>
  <si>
    <t>198.</t>
  </si>
  <si>
    <r>
      <t>Шӧр мероприятие 10.0103: В</t>
    </r>
    <r>
      <rPr>
        <sz val="14"/>
        <color indexed="18"/>
        <rFont val="Times New Roman"/>
        <family val="1"/>
      </rPr>
      <t>ыль медицина организацияяс юӧр ресурсъяс дорӧ йитӧм, кутшӧмъяс могмӧдӧны пациенткӧд ӧтувъя уджсӧ</t>
    </r>
  </si>
  <si>
    <t>199.</t>
  </si>
  <si>
    <r>
      <t xml:space="preserve">Шӧр мероприятие 10.0104: Йӧзлысь </t>
    </r>
    <r>
      <rPr>
        <sz val="14"/>
        <color indexed="18"/>
        <rFont val="Times New Roman"/>
        <family val="1"/>
      </rPr>
      <t xml:space="preserve">дзоньвидзалун видзан юкӧнын ӧтувъя канму юӧр системаса дінму подсистемалӧн содтӧд юкӧнъяслы уджавны вермӧсӧ да коставлытӧм уджсӧ могмӧдӧм
</t>
    </r>
    <r>
      <rPr>
        <sz val="16"/>
        <rFont val="Times New Roman"/>
        <family val="1"/>
      </rPr>
      <t xml:space="preserve">
</t>
    </r>
  </si>
  <si>
    <t>обеспечение использования электронного документооборота при обмене медицинской информацией в государственных учреждениях здравоохранения на уровне 100 процентов к 2020 году</t>
  </si>
  <si>
    <t xml:space="preserve">Медицина отсӧг сетан качество чинӧм, йӧзлы медицина услугаяс вылӧ коланлунсӧ могмӧдны вермытӧмлун </t>
  </si>
  <si>
    <t>ПП10: дзоньвидзалун видзан канму учреждениеяслӧн пай, кодъяс медицинаын юӧрӧн вежсигӧн вӧдитчӧны электроннӧй документооборотӧн,  дзоньвидзалун видзан канму учреждениеяслӧн став лыд серти (прӧчентъясӧн)</t>
  </si>
  <si>
    <t>200.</t>
  </si>
  <si>
    <r>
      <t>Шӧр мероприятие 10.0105: Д</t>
    </r>
    <r>
      <rPr>
        <sz val="14"/>
        <color indexed="18"/>
        <rFont val="Times New Roman"/>
        <family val="1"/>
      </rPr>
      <t xml:space="preserve">зоньвидзалун видзан учреждениеяслӧн уджӧ ӧнія юӧр технологияяс пыртӧм
</t>
    </r>
  </si>
  <si>
    <r>
      <t xml:space="preserve">2020 во кежлӧ йӧзлысь </t>
    </r>
    <r>
      <rPr>
        <sz val="14"/>
        <color indexed="18"/>
        <rFont val="Times New Roman"/>
        <family val="1"/>
      </rPr>
      <t>дзоньвидзалун видзан канму учреждениеясын медицинаын юӧрӧн вежсигӧн 100 прӧчент тшупӧдын электроннӧй документооборотӧн вӧдитчӧм могмӧдӧм</t>
    </r>
  </si>
  <si>
    <t xml:space="preserve">Ставроссияса тенденцияясысь бокын дзоньвидзалун видзӧмын юӧра системаяс пыртан юкӧнын отрасль сӧвмӧдан ӧд чинӧм </t>
  </si>
  <si>
    <r>
      <t xml:space="preserve">2 мог. </t>
    </r>
    <r>
      <rPr>
        <i/>
        <sz val="16"/>
        <color indexed="18"/>
        <rFont val="Times New Roman"/>
        <family val="1"/>
      </rPr>
      <t>Телемедицина юӧръясӧн вежласян система бурмӧдӧм</t>
    </r>
  </si>
  <si>
    <t>201.</t>
  </si>
  <si>
    <r>
      <t xml:space="preserve">Шӧр мероприятие 10.0201: </t>
    </r>
    <r>
      <rPr>
        <sz val="14"/>
        <color indexed="18"/>
        <rFont val="Times New Roman"/>
        <family val="1"/>
      </rPr>
      <t>Ыджыд риска пациент чукӧръяслы дзоньвидзалун видзан медводдза юкӧн тшупӧдын ылісянь скрининг котыртӧм, мый арталӧ телемедициналысь ӧнія юӧртан да телекоммуникационнӧй технологияяс пыртӧм</t>
    </r>
  </si>
  <si>
    <t xml:space="preserve">ылысса олан пунктъясын олысьяслы вылыс квалификацияа специализируйтӧм медицина отсӧг сетан судзсянлун сӧвмӧм  телемедицина вез паськӧдӧм, ылысса олан пунктъясын олысьяслы вылыс квалификацияа специализируйтӧм медицина отсӧг сетан судзсянлун кыптӧм </t>
  </si>
  <si>
    <t>йӧзлӧн кувсьӧм содӧм, урчитӧм оландыр тшупӧдӧдз воӧдчытӧм</t>
  </si>
  <si>
    <t>ГП: чужигӧн виччысяна оландыр (во);                                                                                                                         ПП10: дзоньвидзалун видзан канму учреждениеяслӧн пай, кытчӧ пыртӧма телемедицина консультируйтан система, дзоньвидзалун видзан канму учреждениеяслӧн став лыд серти (прӧчентъясӧн)</t>
  </si>
  <si>
    <t>202.</t>
  </si>
  <si>
    <r>
      <t>Шӧр мероприятие 10.0202: Ы</t>
    </r>
    <r>
      <rPr>
        <sz val="14"/>
        <color indexed="18"/>
        <rFont val="Times New Roman"/>
        <family val="1"/>
      </rPr>
      <t xml:space="preserve">лысса сикт мутасъясын телемедицина вез сӧвмӧдӧм
</t>
    </r>
  </si>
  <si>
    <t xml:space="preserve">сиктын меститчысь ылысса олан пунктъясын олысьяслы вылыс квалификацияа специализируйтӧм медицина отсӧг сетан судзсянлун кыптӧм </t>
  </si>
  <si>
    <t>сиктын олысь йӧзлӧн кувсьӧм содӧм, йӧзлӧн кувсьӧм содӧм, урчитӧм оландыр тшупӧдӧдз воӧдчытӧм</t>
  </si>
  <si>
    <t>ГП: чужигӧн виччысяна оландыр (во);                                                                                                                        ПП10: дзоньвидзалун видзан канму учреждениеяслӧн пай, кытчӧ пыртӧма телемедицина консультируйтан система, дзоньвидзалун видзан канму учреждениеяслӧн став лыд серти (прӧчентъясӧн)</t>
  </si>
  <si>
    <r>
      <t xml:space="preserve">3 мог.  </t>
    </r>
    <r>
      <rPr>
        <i/>
        <sz val="14"/>
        <color indexed="18"/>
        <rFont val="Times New Roman"/>
        <family val="1"/>
      </rPr>
      <t>Медицина учреждениеяслӧн овмӧсӧн веськӧдлан уджын веськӧдлан учёт система, медицинаын уджалысьяслы ӧтувъя регистр, медицина учреждениеяслы электроннӧй паспорт да дзоньвидзалун видзан системалы паспорт котыртӧм да нуӧдӧм</t>
    </r>
  </si>
  <si>
    <t>203.</t>
  </si>
  <si>
    <r>
      <t>Шӧр мероприятие 10.0301: В</t>
    </r>
    <r>
      <rPr>
        <sz val="14"/>
        <color indexed="18"/>
        <rFont val="Times New Roman"/>
        <family val="1"/>
      </rPr>
      <t xml:space="preserve">ыль медицина организацияяс юӧр ресурсъяс дорӧ йитӧм
</t>
    </r>
  </si>
  <si>
    <t xml:space="preserve">Медицина услугаяслысь качество кыпӧдӧм, уджсикасын тӧдӧмлунъяс кыпӧдӧм могысь, технология удж бурмӧдӧм могысь  дзоньвидзалун видзан учреждениеясӧн ӧнія юӧр ресурсъясӧн вӧдитчан позянлун могмӧдӧм </t>
  </si>
  <si>
    <t>отрасль сӧвмӧдан ӧд чинӧм, медицина услугаяслӧн качество, медицина отсӧг сетан судзсянлун чинӧм</t>
  </si>
  <si>
    <t>ПП10: Коми Республика пасьта шӧркодя ӧнія персональнӧй ӧти компьютер вылӧ уджалысь лыд списокын уджалысьяслӧн шӧркодь лыд серти (1 ӧнія персональнӧй компьютер вылӧ морт)</t>
  </si>
  <si>
    <t>204.</t>
  </si>
  <si>
    <r>
      <t>Шӧр мероприятие 10.0302: М</t>
    </r>
    <r>
      <rPr>
        <sz val="14"/>
        <color indexed="18"/>
        <rFont val="Times New Roman"/>
        <family val="1"/>
      </rPr>
      <t xml:space="preserve">едицинаын уджалысьяслы да гражданалы дзоньвидзалун видзан юалӧмъяс кузя специализируйтӧм юӧр ресурсъяс лӧсьӧдӧм
</t>
    </r>
  </si>
  <si>
    <t>Медицина услугаяслысь качество кыпӧдӧм, уджсикасын тӧдӧмлунъяс кыпӧдӧм могысь, технология удж бурмӧдӧм могысь  дзоньвидзалун видзан учреждениеясӧн ӧнія юӧр ресурсъясӧн вӧдитчан позянлун могмӧдӧм</t>
  </si>
  <si>
    <t xml:space="preserve">ПП10: Коми Республика пасьта шӧркодя ӧнія персональнӧй ӧти компьютер вылӧ уджалысь лыд списокын уджалысьяслӧн шӧркодь лыд серти (1 ӧнія персональнӧй компьютер вылӧ морт) </t>
  </si>
  <si>
    <r>
      <t xml:space="preserve">11 уджтасув. </t>
    </r>
    <r>
      <rPr>
        <b/>
        <sz val="11"/>
        <color indexed="18"/>
        <rFont val="Times New Roman"/>
        <family val="1"/>
      </rPr>
      <t>“</t>
    </r>
    <r>
      <rPr>
        <b/>
        <sz val="15"/>
        <color indexed="18"/>
        <rFont val="Times New Roman"/>
        <family val="1"/>
      </rPr>
      <t>Коми Республикаса йӧзлысь дзоньвидзалун видзӧм мутасын планируйтӧм бурмӧдӧм”</t>
    </r>
  </si>
  <si>
    <r>
      <t xml:space="preserve">1 мог. </t>
    </r>
    <r>
      <rPr>
        <i/>
        <sz val="14"/>
        <color indexed="18"/>
        <rFont val="Times New Roman"/>
        <family val="1"/>
      </rPr>
      <t>Специализируйтӧм амбулаторнӧй да стационарнӧй медицина отсӧг сетӧм вылӧ мутаскостса шӧринъяслысь уджсӧ бурмӧдӧм</t>
    </r>
  </si>
  <si>
    <t>205.</t>
  </si>
  <si>
    <r>
      <t xml:space="preserve">Шӧр мероприятие 11.0101: </t>
    </r>
    <r>
      <rPr>
        <sz val="11"/>
        <color indexed="18"/>
        <rFont val="Times New Roman"/>
        <family val="1"/>
      </rPr>
      <t>“</t>
    </r>
    <r>
      <rPr>
        <sz val="14"/>
        <color indexed="18"/>
        <rFont val="Times New Roman"/>
        <family val="1"/>
      </rPr>
      <t>Печора районса шӧр  больнича” Коми Республикаса дзоньвидзалун видзан канму сьӧмкуд учреждение подув вылын мутаскостса консультируйтан да диагностируйтан шӧринлысь уджсӧ котыртӧм</t>
    </r>
  </si>
  <si>
    <t>мутаскостса амбулаторнӧй шӧрин лыд 4- ӧдз ыдждӧдӧм</t>
  </si>
  <si>
    <t xml:space="preserve">медицина отсӧг сетан качество да судзсянлун чинӧм  </t>
  </si>
  <si>
    <t>ПП11: Коми Республика мутасын котыртӧм мутаскостса амбулаторнӧй шӧрин лыд (единица)</t>
  </si>
  <si>
    <t>206.</t>
  </si>
  <si>
    <r>
      <t xml:space="preserve">Шӧр мероприятие 11.0102: </t>
    </r>
    <r>
      <rPr>
        <sz val="11"/>
        <color indexed="18"/>
        <rFont val="Times New Roman"/>
        <family val="1"/>
      </rPr>
      <t>“</t>
    </r>
    <r>
      <rPr>
        <sz val="14"/>
        <color indexed="18"/>
        <rFont val="Times New Roman"/>
        <family val="1"/>
      </rPr>
      <t>Сосногорск районса шӧр  больнича” Коми Республикаса дзоньвидзалун видзан канму сьӧмкуд учреждение подув вылын паллиативнӧй отсӧг сетӧм вылӧ мутаскостса шӧринлысь уджсӧ котыртӧм</t>
    </r>
  </si>
  <si>
    <t>стационарнӧй медицина отсӧг сетӧм вылӧ мутаскостса шӧрин лыд 7-ӧдз ыдждӧдӧм</t>
  </si>
  <si>
    <t xml:space="preserve">ПП11: Коми Республика мутасын котыртӧм стационарнӧй медицина отсӧг сетӧм вылӧ мутаскостса шӧрин лыд (единица)
</t>
  </si>
  <si>
    <r>
      <t xml:space="preserve">2 мог. </t>
    </r>
    <r>
      <rPr>
        <i/>
        <sz val="16"/>
        <color indexed="18"/>
        <rFont val="Times New Roman"/>
        <family val="1"/>
      </rPr>
      <t xml:space="preserve"> Дзоньвидзалун видзан и</t>
    </r>
    <r>
      <rPr>
        <i/>
        <sz val="16"/>
        <color indexed="18"/>
        <rFont val="Times New Roman"/>
        <family val="1"/>
      </rPr>
      <t xml:space="preserve">чӧт вына </t>
    </r>
    <r>
      <rPr>
        <i/>
        <sz val="16"/>
        <color indexed="18"/>
        <rFont val="Times New Roman"/>
        <family val="1"/>
      </rPr>
      <t>учреждениеяс выль ног котыртӧм</t>
    </r>
  </si>
  <si>
    <t>207.</t>
  </si>
  <si>
    <r>
      <t>Шӧр мероприятие 11.0201: Д</t>
    </r>
    <r>
      <rPr>
        <sz val="14"/>
        <color indexed="18"/>
        <rFont val="Times New Roman"/>
        <family val="1"/>
      </rPr>
      <t xml:space="preserve">зоньвидзалун видзан ичӧт вына учреждениеяс дзоньвидзалун видзан ыджыдджык вына учреждениеяскӧд (уджмогъяс серти матыссаяскӧд) ӧтлаӧдӧм
</t>
    </r>
  </si>
  <si>
    <t>дзоньвидзалун видзан учреждение лыд, кодъяс лоӧны юридическӧй кывкутысьясӧн, 88-ӧдз чинтӧм</t>
  </si>
  <si>
    <t>ПП11: дзоньвидзалун видзан учреждение лыд, кодъяс лоӧны юридическӧй кывкутысьясӧн (единица)</t>
  </si>
  <si>
    <t>208.</t>
  </si>
  <si>
    <r>
      <t>Шӧр мероприятие 11.0202: У</t>
    </r>
    <r>
      <rPr>
        <sz val="14"/>
        <color indexed="18"/>
        <rFont val="Times New Roman"/>
        <family val="1"/>
      </rPr>
      <t>частокса больничаяс, кутшӧмъяс сулалӧны олысьяслӧн пыр чинысь лыда олан пунктъясын, врачебнӧй амбулаторияясӧ (сестринскӧй тӧралан койкаяс котыртӧмӧн) либӧ фельдшер-акушер пунктъясӧ вуджӧдӧм</t>
    </r>
  </si>
  <si>
    <t>209.</t>
  </si>
  <si>
    <r>
      <t>Шӧр мероприятие 11.0203: О</t>
    </r>
    <r>
      <rPr>
        <sz val="14"/>
        <color indexed="18"/>
        <rFont val="Times New Roman"/>
        <family val="1"/>
      </rPr>
      <t>лан пунктъясысь, кӧні вывті этша олысь лыдыс (30 мортысь этшаджык), фельдшер-акушер пунктъяс бырӧдӧм медицина боксянь могмӧдӧм вылӧ олысьясӧс дзоньвидзалун видзан матысса учреждение бердӧ крепитӧмӧн</t>
    </r>
  </si>
  <si>
    <t>210.</t>
  </si>
  <si>
    <r>
      <t xml:space="preserve">Шӧр мероприятие 11.0204: </t>
    </r>
    <r>
      <rPr>
        <sz val="14"/>
        <color indexed="18"/>
        <rFont val="Times New Roman"/>
        <family val="1"/>
      </rPr>
      <t xml:space="preserve">300 мортысь этшаджык лыда фельдшер-акушер пунктъяссӧ фельдшер здравпунктъясӧ вуджӧдӧм
</t>
    </r>
  </si>
  <si>
    <t>"</t>
  </si>
  <si>
    <t xml:space="preserve">6 таблица </t>
  </si>
  <si>
    <r>
      <t xml:space="preserve">Коми Республикаса республиканскӧй сьӧмкудйысь сьӧм тшӧт весьтӧ канму уджтас збыльмӧдӧм сьӧмӧн могмӧдӧм (федеральнӧй сьӧмкудйысь сьӧм артыштӧмӧн) (сюрс шайт)
</t>
    </r>
    <r>
      <rPr>
        <b/>
        <sz val="14"/>
        <rFont val="Times New Roman"/>
        <family val="1"/>
      </rPr>
      <t xml:space="preserve">
</t>
    </r>
  </si>
  <si>
    <t>Статус</t>
  </si>
  <si>
    <t>Канму уджтаслӧн, канму уджтасса уджтасувлӧн, дыр кадся республиканскӧй торъя мога уджтаслӧн (дыр кадся республиканскӧй торъя мога уджтасса уджтасувлӧн), ведомствоса торъя мога уджтаслӧн, шӧр мероприятиелӧн ним</t>
  </si>
  <si>
    <t>Кывкутӧмӧн збыльмӧдысь, ӧтув збыльмӧдысьяс</t>
  </si>
  <si>
    <t xml:space="preserve">Код бюджетной классификации </t>
  </si>
  <si>
    <t>Рӧскод (сюрс шайт), во</t>
  </si>
  <si>
    <t>ГРБС</t>
  </si>
  <si>
    <t>КФСР</t>
  </si>
  <si>
    <t xml:space="preserve">КЦСР  </t>
  </si>
  <si>
    <t xml:space="preserve">КВР </t>
  </si>
  <si>
    <t xml:space="preserve">2013 год (справочно) </t>
  </si>
  <si>
    <t xml:space="preserve">2014 во (ӧчереднӧй во) </t>
  </si>
  <si>
    <t>2015 во (планӧвӧй кадколастлӧн медводдза во)</t>
  </si>
  <si>
    <t>2016 во (планӧвӧй кадколастлӧн мӧд во)</t>
  </si>
  <si>
    <t>ИТОГО</t>
  </si>
  <si>
    <t>Канму уджтас</t>
  </si>
  <si>
    <t>Йӧзлысь дзоньвидзалун видзӧм сӧвмӧдӧм</t>
  </si>
  <si>
    <t>Ставнас</t>
  </si>
  <si>
    <t xml:space="preserve"> Х</t>
  </si>
  <si>
    <t xml:space="preserve"> Коми Республикаса йöзлысь дзоньвидзалун видзан министерство</t>
  </si>
  <si>
    <t>Коми Республикаса архитектура, стрöитчöм да коммунальнöй овмöс министерство</t>
  </si>
  <si>
    <t>1 уджтасув</t>
  </si>
  <si>
    <t>Висьӧмъясысьӧлӧдӧм да бур дзоньвидза оласног лӧсьӧдӧм. Медводдза медико-санитарнӧй отсӧг сетӧм сӧвмӧдӧм</t>
  </si>
  <si>
    <t>Х</t>
  </si>
  <si>
    <t>Коми Республикаса йöзлысь дзоньвидзалун видзан министерство</t>
  </si>
  <si>
    <t>Шӧр мероприятие 1.0101.</t>
  </si>
  <si>
    <t>Коми Республикаын табак куритӧм топӧдӧм</t>
  </si>
  <si>
    <t>Шӧр мероприятие 1.0102.</t>
  </si>
  <si>
    <t>Коми Республикаса олысьяслӧн сёян-юанкӧд йитчӧм лоны верманаторъяс паськалӧм чинӧм</t>
  </si>
  <si>
    <t>Шӧр мероприятие 1.0103.</t>
  </si>
  <si>
    <t>Коми Республикаса йӧзлысь вир-яй ёнмӧдан тшупӧд кыпӧдӧм</t>
  </si>
  <si>
    <t>Шӧр мероприятие 1.0104.</t>
  </si>
  <si>
    <t xml:space="preserve">Коми Республикаын челядьӧс лёкӧ велалӧмысь видзан мераяс, челядь да ныв-зонпосни пӧвстын дзоньвидза оласног подув лӧсьӧдӧм
</t>
  </si>
  <si>
    <t>0902</t>
  </si>
  <si>
    <t>01.1.0104</t>
  </si>
  <si>
    <t>Шӧр мероприятие 1.0201.</t>
  </si>
  <si>
    <r>
      <t>У</t>
    </r>
    <r>
      <rPr>
        <sz val="14"/>
        <color indexed="18"/>
        <rFont val="Times New Roman"/>
        <family val="1"/>
      </rPr>
      <t>часткӧвӧй служба, ӧтувъя (семейнӧй) практика врачлӧн институт, домӧвӧй овмӧсъяс сӧвмӧдӧм</t>
    </r>
  </si>
  <si>
    <t>01.1.0201</t>
  </si>
  <si>
    <t>Шӧр мероприятие 1.0202.</t>
  </si>
  <si>
    <r>
      <t>Ӧ</t>
    </r>
    <r>
      <rPr>
        <sz val="14"/>
        <color indexed="8"/>
        <rFont val="Times New Roman"/>
        <family val="1"/>
      </rPr>
      <t>тувъя бурдӧдан везйын учреждениеяслысь ветлӧдлан уджсӧ, сы лыдын сиктса муниципалитеткостса шӧринъяслысь уджсӧ, бурмӧдӧм</t>
    </r>
  </si>
  <si>
    <t>Шӧр мероприятие 1.0203.</t>
  </si>
  <si>
    <r>
      <t>М</t>
    </r>
    <r>
      <rPr>
        <sz val="14"/>
        <color indexed="18"/>
        <rFont val="Times New Roman"/>
        <family val="1"/>
      </rPr>
      <t>едицина организацияяслӧн кывкутана юкӧнъяс серти йӧзлысь ветлӧдлӧм бурмӧдӧм</t>
    </r>
  </si>
  <si>
    <t>Шӧр мероприятие 1.0204.</t>
  </si>
  <si>
    <t>Йӧзлысь дзоньвидзалун видзан учреждениеяслысь, кутшӧмъяс сетӧны медводдза медико-санитарнӧй отсӧг (ФАП-ъяслысь, карса поликлиникаяслысь, мутаскостса поликлиника шӧринъяслысь, консультируйтан да диагностируйтан шӧринъяслысь), удж бурмӧдӧм</t>
  </si>
  <si>
    <t>0901
0902
0903
0909</t>
  </si>
  <si>
    <t>01.1.0204</t>
  </si>
  <si>
    <t>611
621</t>
  </si>
  <si>
    <t>Шӧр мероприятие 1.0205.</t>
  </si>
  <si>
    <r>
      <t>Й</t>
    </r>
    <r>
      <rPr>
        <sz val="14"/>
        <color indexed="18"/>
        <rFont val="Times New Roman"/>
        <family val="1"/>
      </rPr>
      <t>ӧзлысь дзоньвидзалун видзан учреждениеяслӧн подув вылын, кутшӧмъяс сетӧны медводдза медико-санитарнӧй отсӧг, медицина отсӧглысь стационар вежан сикасъяс сӧвмӧдӧм</t>
    </r>
  </si>
  <si>
    <t>Шӧр мероприятие 1.0206.</t>
  </si>
  <si>
    <t>Висьӧмысь видзан мераясын да медшӧр вуджтӧм хроническӧй висьӧмъяслысь лоны верманасӧ водз тӧдмалӧмын выль тэчас лӧсьӧдӧм</t>
  </si>
  <si>
    <t>Шӧр мероприятие 1.0207.</t>
  </si>
  <si>
    <r>
      <t>В</t>
    </r>
    <r>
      <rPr>
        <sz val="14"/>
        <color indexed="18"/>
        <rFont val="Times New Roman"/>
        <family val="1"/>
      </rPr>
      <t>исьӧм мунӧмсӧ водз тӧдмалӧм могысь декретӧн урчитӧм арлыд серти чукӧръясӧн уна йӧза диспансеризация котыртӧм да нуӧдӧм</t>
    </r>
  </si>
  <si>
    <t>Шӧр мероприятие 1.0208.</t>
  </si>
  <si>
    <t>Коми Республикаса олысьяс пӧвстын, сы лыдын челядь пӧвстын, асвиӧм кӧсъянлунысь видзан мераяс</t>
  </si>
  <si>
    <t>Шӧр мероприятие 1.0209.</t>
  </si>
  <si>
    <r>
      <t>Й</t>
    </r>
    <r>
      <rPr>
        <sz val="16"/>
        <color indexed="18"/>
        <rFont val="Times New Roman"/>
        <family val="1"/>
      </rPr>
      <t>ӧзлы медицина отсӧг сетӧм вылӧ условиеяс лӧсьӧдӧм (Россия Федерацияса йӧзлысь дзоньвидзалун видзан министерствоӧн вынсьӧдӧм Пӧрадокъяс серти)</t>
    </r>
  </si>
  <si>
    <t>0901
0902</t>
  </si>
  <si>
    <t>01.1.0209</t>
  </si>
  <si>
    <t>612
622</t>
  </si>
  <si>
    <r>
      <t>Й</t>
    </r>
    <r>
      <rPr>
        <sz val="14"/>
        <color indexed="18"/>
        <rFont val="Times New Roman"/>
        <family val="1"/>
      </rPr>
      <t>ӧзлысь дзоньвидзалун видзан объектъяс канму коланлун вылӧ стрӧитӧм да выльмӧдӧм</t>
    </r>
  </si>
  <si>
    <t>0901</t>
  </si>
  <si>
    <t>01.1.0210</t>
  </si>
  <si>
    <t>Шӧр мероприятие 1.0301.</t>
  </si>
  <si>
    <r>
      <t>Д</t>
    </r>
    <r>
      <rPr>
        <sz val="16"/>
        <color indexed="18"/>
        <rFont val="Times New Roman"/>
        <family val="1"/>
      </rPr>
      <t xml:space="preserve">зоньвидзалун ёнмӧдан содтӧд уджтасъяс серти, Висьӧмысь видзан прививкаяслӧн национальнӧй календар серти йӧзлысь дзоньвидзалун ёнмӧдӧм кузя мероприятиеяс котыртӧм да нуӧдӧм
</t>
    </r>
  </si>
  <si>
    <t>01.1.0301</t>
  </si>
  <si>
    <t>Шӧр мероприятие 1.0302.</t>
  </si>
  <si>
    <r>
      <t>Э</t>
    </r>
    <r>
      <rPr>
        <sz val="16"/>
        <color indexed="18"/>
        <rFont val="Times New Roman"/>
        <family val="1"/>
      </rPr>
      <t>пидемиологическӧй петкӧдчӧмъяс серти (туляремияысь, бешенствоысь, клещевӧй энцефалитысь) йӧзлысь дзоньвидзалун ёнмӧдӧм кузя мероприятиеяс котыртӧм да нуӧдӧм</t>
    </r>
  </si>
  <si>
    <t>01.1.0302</t>
  </si>
  <si>
    <t>Шӧр мероприятие 1.0303.</t>
  </si>
  <si>
    <r>
      <t>Й</t>
    </r>
    <r>
      <rPr>
        <sz val="16"/>
        <color indexed="18"/>
        <rFont val="Times New Roman"/>
        <family val="1"/>
      </rPr>
      <t xml:space="preserve">ӧзӧс юӧртан средствоясын йӧзӧс ёнмӧдӧмын коланлун йылысь юӧр сетан кампания котыртӧм да нуӧдӧм
</t>
    </r>
  </si>
  <si>
    <t>Шӧр мероприятие 1.0401.</t>
  </si>
  <si>
    <t xml:space="preserve">ВИЧ-инфекцияысь, В да С гепатитъясысь лӧсялана видзан мераяс йылысь йӧзлы юӧр сетӧм котыртӧм, сы лыдын йӧзӧс юӧртан средствояс пыр
</t>
  </si>
  <si>
    <t>Шӧр мероприятие 1.0402.</t>
  </si>
  <si>
    <t xml:space="preserve">Коми Республика мутасын ВИЧ-инфекция паськалӧмысь эпидемиологическӧй дӧзьӧр нуӧдӧм
</t>
  </si>
  <si>
    <t>Шӧр мероприятие 1.0403.</t>
  </si>
  <si>
    <t xml:space="preserve">ВИЧ-инфекция, В да С гепатитъяс тӧдмалӧм могысь медицина боксянь видлалӧм котыртӧм да нуӧдӧм
</t>
  </si>
  <si>
    <t>Шӧр мероприятие 1.0404.</t>
  </si>
  <si>
    <t>ВИЧ-инфекция паськалӧмысь видзчысьӧм кузя мераяс збыльмӧдӧм вылӧ специалистъясӧс дасьтӧм</t>
  </si>
  <si>
    <t>Шӧр мероприятие 1.0405.</t>
  </si>
  <si>
    <r>
      <t xml:space="preserve"> </t>
    </r>
    <r>
      <rPr>
        <sz val="14"/>
        <color indexed="18"/>
        <rFont val="Times New Roman"/>
        <family val="1"/>
      </rPr>
      <t xml:space="preserve">ВИЧ-инфекция паськалӧмысь видзчысьӧм кузя войтыркостса уджтасъясӧ пырӧдчӧм
</t>
    </r>
  </si>
  <si>
    <t>Шӧр мероприятие 1.0406.</t>
  </si>
  <si>
    <r>
      <t>Й</t>
    </r>
    <r>
      <rPr>
        <sz val="14"/>
        <color indexed="18"/>
        <rFont val="Times New Roman"/>
        <family val="1"/>
      </rPr>
      <t>ӧзлысь дзоньвидзалун видзан канму учреждениеясын лабораторнӧй служба ёнмӧдӧм</t>
    </r>
  </si>
  <si>
    <t>2 уджтасув</t>
  </si>
  <si>
    <t>Торъя, тшӧтш  вылыс  технологияа,  медицина отсӧг сетӧм, регыдъя, сы лыдын регыдъя специализируйтӧм, медицина отсӧг сетӧм, медицинскӧй эвакуация бурмӧдӧм</t>
  </si>
  <si>
    <t>Шӧр мероприятие 2.0101.</t>
  </si>
  <si>
    <t>Туберкулёз сӧвмӧмысь да паськалӧмысь видзан мераяс бурмӧдӧм</t>
  </si>
  <si>
    <t>Шӧр мероприятие 2.0102.</t>
  </si>
  <si>
    <r>
      <t>Т</t>
    </r>
    <r>
      <rPr>
        <sz val="14"/>
        <color indexed="18"/>
        <rFont val="Times New Roman"/>
        <family val="1"/>
      </rPr>
      <t>уберкулёз водз тӧдмалӧм котыртӧм бурмӧдӧм, сы лыдын висьмыны вермана чукӧръясысь пациентъяс пӧвстын</t>
    </r>
  </si>
  <si>
    <t>Шӧр мероприятие 2.0103.</t>
  </si>
  <si>
    <r>
      <t>Ӧ</t>
    </r>
    <r>
      <rPr>
        <sz val="14"/>
        <color indexed="18"/>
        <rFont val="Times New Roman"/>
        <family val="1"/>
      </rPr>
      <t>тувъя бурдӧдан везйын туберкулёзӧн висьысьясӧс видзӧдана бурдӧдӧм котыртӧм (“Туберкулёзӧн висьысьяслы медицина отсӧг сетан пӧрадок вынсьӧдӧм йылысь” Россия Федерацияса йӧзлысь дзоньвидзалун видзан министерстволӧн 2012 во вӧльгым тӧлысь 15 лунся 932н №-а тшӧктӧд серти)</t>
    </r>
  </si>
  <si>
    <t>0901
0902
0903</t>
  </si>
  <si>
    <t>01.2.0103</t>
  </si>
  <si>
    <t>Шӧр мероприятие 2.0104.</t>
  </si>
  <si>
    <r>
      <t>Й</t>
    </r>
    <r>
      <rPr>
        <sz val="14"/>
        <color indexed="18"/>
        <rFont val="Times New Roman"/>
        <family val="1"/>
      </rPr>
      <t>ӧзлысь дзоньвидзалун видзан учреждениеяслысь, кутшӧмъяс сетӧны отсӧг туберкулёзӧн висьмӧмысь, материально-техническӧй подувсӧ бурмӧдӧм (“Туберкулёзӧн висьысьяслы медицина отсӧг сетан пӧрадок вынсьӧдӧм йылысь” Россия Федерацияса йӧзлысь дзоньвидзалун видзан министерстволӧн 2012 во вӧльгым тӧлысь 15 лунся 932н №-а тшӧктӧд серти)</t>
    </r>
  </si>
  <si>
    <t>01.2.0104</t>
  </si>
  <si>
    <t>Шӧр мероприятие 2.0105.</t>
  </si>
  <si>
    <r>
      <t>Б</t>
    </r>
    <r>
      <rPr>
        <sz val="14"/>
        <color indexed="18"/>
        <rFont val="Times New Roman"/>
        <family val="1"/>
      </rPr>
      <t>урдӧдчанінын висьмӧмысь да туберкулёзысь бурдӧдан службаса уджалысьяслӧн туберкулёзӧн висьман случайысь видзан мераяслысь системасӧ бурмӧдӧм</t>
    </r>
  </si>
  <si>
    <t>Шӧр мероприятие 2.0106.</t>
  </si>
  <si>
    <r>
      <t>Т</t>
    </r>
    <r>
      <rPr>
        <sz val="16"/>
        <color indexed="18"/>
        <rFont val="Times New Roman"/>
        <family val="1"/>
      </rPr>
      <t>уберкулёзӧн висьысьяслы медицина отсӧг бура да коставлытӧг сетӧм</t>
    </r>
  </si>
  <si>
    <t>Шӧр мероприятие 2.0201.</t>
  </si>
  <si>
    <t>ВИЧ-инфекция, В да С гепатитъяс паськалӧмысь видзан мераяс бурмӧдӧм</t>
  </si>
  <si>
    <t>0909</t>
  </si>
  <si>
    <t>01.2.5179</t>
  </si>
  <si>
    <t>Шӧр мероприятие 2.0202.</t>
  </si>
  <si>
    <t>ВИЧ-инфекция, В да С гепатитъяс водз тӧдмалӧм котыртӧмсӧ бурмӧдӧм</t>
  </si>
  <si>
    <t>01.2.0202</t>
  </si>
  <si>
    <t>Шӧр мероприятие 2.0203.</t>
  </si>
  <si>
    <r>
      <t>Й</t>
    </r>
    <r>
      <rPr>
        <sz val="14"/>
        <color indexed="18"/>
        <rFont val="Times New Roman"/>
        <family val="1"/>
      </rPr>
      <t>ӧзлысь дзоньвидзалун видзан учреждениелысь, кутшӧм сетӧ ВИЧ-инфекцияӧн да мукӧд вуджан висьӧмӧн висьысьяслы медицина отсӧг, материально-техническӧй подувсӧ бурмӧдӧм («Мортлӧн иммунодефицит вирусӧн (ВИЧ-инфекциялӧн вирусӧн) кыпӧдӧм висьӧмӧн висигӧн верстьӧ йӧзлы медицина отсӧг сетан пӧрадок вынсьӧдӧм йылысь» Россия Федерацияса йӧзлысь дзоньвидзалун видзан министерстволӧн 2012 во вӧльгым тӧлысь 8 лунся 689н №-а тшӧктӧд серти)</t>
    </r>
  </si>
  <si>
    <t>Шӧр мероприятие 2.0204.</t>
  </si>
  <si>
    <r>
      <t xml:space="preserve"> </t>
    </r>
    <r>
      <rPr>
        <sz val="14"/>
        <color indexed="18"/>
        <rFont val="Times New Roman"/>
        <family val="1"/>
      </rPr>
      <t xml:space="preserve">ВИЧ-инфекция, В да С гепатитъяс вылӧ йӧзӧс видлалӧм кузя, а сідзжӧ ВИЧ-инфекцияӧн, В да С гепатитъясӧн висьысьяслы медицина отсӧг сетӧмын мероприятиеяс коставлытӧг да бура нуӧдӧм могмӧдӧм
</t>
    </r>
  </si>
  <si>
    <t>0901
0909</t>
  </si>
  <si>
    <t>01.2.0204</t>
  </si>
  <si>
    <t>Шӧр мероприятие 2.0301.</t>
  </si>
  <si>
    <r>
      <t>А</t>
    </r>
    <r>
      <rPr>
        <sz val="14"/>
        <color indexed="18"/>
        <rFont val="Times New Roman"/>
        <family val="1"/>
      </rPr>
      <t>лкоголь вывті уна юӧм, табак ёна куритӧм да наркомания сӧвмӧмысь видзан мераяс бурмӧдӧм</t>
    </r>
  </si>
  <si>
    <t>01.2.0301</t>
  </si>
  <si>
    <t>Шӧр мероприятие 2.0302.</t>
  </si>
  <si>
    <r>
      <t>А</t>
    </r>
    <r>
      <rPr>
        <sz val="14"/>
        <color indexed="18"/>
        <rFont val="Times New Roman"/>
        <family val="1"/>
      </rPr>
      <t>лкоголь вывті уна юӧм, табак ёна куритӧм, наркомания водз тӧдмалӧм бурмӧдӧм</t>
    </r>
  </si>
  <si>
    <t>01.2.0302</t>
  </si>
  <si>
    <t>Шӧр мероприятие 2.0303.</t>
  </si>
  <si>
    <r>
      <t xml:space="preserve">Диспансернӧй </t>
    </r>
    <r>
      <rPr>
        <sz val="14"/>
        <color indexed="18"/>
        <rFont val="Times New Roman"/>
        <family val="1"/>
      </rPr>
      <t>йӧз чукӧрлы, кодъяс бӧрся водзын видзӧдісны да найӧ водзӧ олӧны ютӧг, юӧмысь видзан мероприятиеяс нуӧдӧм</t>
    </r>
  </si>
  <si>
    <t>Шӧр мероприятие 2.0304.</t>
  </si>
  <si>
    <r>
      <t>Н</t>
    </r>
    <r>
      <rPr>
        <sz val="14"/>
        <color indexed="18"/>
        <rFont val="Times New Roman"/>
        <family val="1"/>
      </rPr>
      <t>аркология висьысьяслы реабилитируйтан отсӧг сетӧм бурмӧдӧм</t>
    </r>
  </si>
  <si>
    <t>Шӧр мероприятие 2.0305.</t>
  </si>
  <si>
    <r>
      <t>Й</t>
    </r>
    <r>
      <rPr>
        <sz val="14"/>
        <color indexed="18"/>
        <rFont val="Times New Roman"/>
        <family val="1"/>
      </rPr>
      <t>ӧзлысь дзоньвидзалун видзан учреждениеяслысь, кутшӧмъяс сетӧны йӧзлы наркология отсӧг, материально-техническӧй подувнысӧ бурмӧдӧм («Наркология» профиль кузя медицина отсӧг сетан пӧрадок вынсьӧдӧм йылысь» Россия Федерацияса йӧзлысь дзоньвидзалун видзан министерстволӧн 2012 во вӧльгым тӧлысь 15 лунся 929н №-а тшӧктӧд серти)</t>
    </r>
  </si>
  <si>
    <t>Шӧр мероприятие 2.0306.</t>
  </si>
  <si>
    <r>
      <t>Н</t>
    </r>
    <r>
      <rPr>
        <sz val="14"/>
        <color indexed="18"/>
        <rFont val="Times New Roman"/>
        <family val="1"/>
      </rPr>
      <t xml:space="preserve">аркология висьысьяслы, сы лыдын ворсӧм вӧля улӧ пырӧмаяслы, медицина отсӧг сетан юалӧмъяс кузя медицина персоналлысь уджсикасын тӧдӧмлунъяс да кужӧмлунъяс паськӧдӧм
</t>
    </r>
  </si>
  <si>
    <t>Шӧр мероприятие 2.0401.</t>
  </si>
  <si>
    <r>
      <t>Й</t>
    </r>
    <r>
      <rPr>
        <sz val="16"/>
        <color indexed="8"/>
        <rFont val="Times New Roman"/>
        <family val="1"/>
      </rPr>
      <t>ӧзлысь дзоньвидзалун видзан учреждениеяслысь, кутшӧмъяс сетӧны йӧзлы психиатрическӧй отсӧг, материально-техническӧй подувсӧ бурмӧдӧм (“Психика торксигӧн да оласног торксигӧн медицина отсӧг сетан пӧрадок вынсьӧдӧм йылысь” Россия Федерацияса йӧзлысь дзоньвидзалун видзан да йӧзлы отсӧг сетан министерстволӧн 2012 во ода-кора тӧлысь 17 лунся 566н №-а тшӧктӧд серти)</t>
    </r>
  </si>
  <si>
    <t>01.2.0401</t>
  </si>
  <si>
    <t>Шӧр мероприятие 2.0402.</t>
  </si>
  <si>
    <t>Психикаын торксьӧмъяс дырйи висьӧмысь видзан мераясын, найӧс диагностируйтӧмын, бурдӧдӧмын да реабилитируйтӧмын методъяс бурмӧдӧм</t>
  </si>
  <si>
    <t>Шӧр мероприятие 2.0403.</t>
  </si>
  <si>
    <r>
      <t>П</t>
    </r>
    <r>
      <rPr>
        <sz val="16"/>
        <color indexed="8"/>
        <rFont val="Times New Roman"/>
        <family val="1"/>
      </rPr>
      <t>сихиатрическӧй висьысьяслы амбулаторнӧя медицина отсӧг котыртӧм бурмӧдӧм</t>
    </r>
  </si>
  <si>
    <t>01.2.0403</t>
  </si>
  <si>
    <t>Шӧр мероприятие 2.0404.</t>
  </si>
  <si>
    <r>
      <t>П</t>
    </r>
    <r>
      <rPr>
        <sz val="14"/>
        <color indexed="8"/>
        <rFont val="Times New Roman"/>
        <family val="1"/>
      </rPr>
      <t>сихиатрическӧй учреждениеяслысь куйлан фондсӧ бурмӧдӧм, мый урчитӧ стационар вежан технологияяс  пыртӧм да амбулаторнӧй удж юкӧн бурмӧдӧм</t>
    </r>
  </si>
  <si>
    <t>Шӧр мероприятие 2.0501.</t>
  </si>
  <si>
    <r>
      <t xml:space="preserve"> С</t>
    </r>
    <r>
      <rPr>
        <sz val="16"/>
        <color indexed="8"/>
        <rFont val="Times New Roman"/>
        <family val="1"/>
      </rPr>
      <t>ьӧлӧм-сӧн висьӧмъяс сӧвмӧмысь видзан мераяс бурмӧдӧм</t>
    </r>
  </si>
  <si>
    <t>Шӧр мероприятие 2.0502.</t>
  </si>
  <si>
    <r>
      <t>А</t>
    </r>
    <r>
      <rPr>
        <sz val="14"/>
        <color indexed="8"/>
        <rFont val="Times New Roman"/>
        <family val="1"/>
      </rPr>
      <t>мбулаторнӧй условиеясын сӧн висьӧмъяс водз тӧдмалӧм бурмӧдӧм</t>
    </r>
  </si>
  <si>
    <t>Шӧр мероприятие 2.0503.</t>
  </si>
  <si>
    <r>
      <t>С</t>
    </r>
    <r>
      <rPr>
        <sz val="14"/>
        <color indexed="8"/>
        <rFont val="Times New Roman"/>
        <family val="1"/>
      </rPr>
      <t>ӧн висьӧмъяс дырйи висьӧмысь видзан мераясын, найӧс диагностируйтӧмын, бурдӧдӧмын да реабилитируйтӧмын методъяс бурмӧдӧм</t>
    </r>
  </si>
  <si>
    <t>Шӧр мероприятие 2.0504.</t>
  </si>
  <si>
    <r>
      <t>С</t>
    </r>
    <r>
      <rPr>
        <sz val="14"/>
        <color indexed="8"/>
        <rFont val="Times New Roman"/>
        <family val="1"/>
      </rPr>
      <t>ьӧлӧм-сӧн висьӧмъясӧн висьысьяслы медицина отсӧг сетӧмын, тшӧтш висьӧмъяссӧ водз тӧдмалӧмын, медицинаын уджалысьяслысь уджсикасын тӧдӧмлунъяс да кужӧмлунъяс паськӧдӧм</t>
    </r>
  </si>
  <si>
    <t>Шӧр мероприятие 2.0505.</t>
  </si>
  <si>
    <r>
      <t>Й</t>
    </r>
    <r>
      <rPr>
        <sz val="16"/>
        <color indexed="8"/>
        <rFont val="Times New Roman"/>
        <family val="1"/>
      </rPr>
      <t>ӧзлысь дзоньвидзалун видзан учреждениеяслысь, кутшӧмъяс сетӧны сьӧлӧм-сӧн висьӧмъясӧн висьысьяслы медицина отсӧг, материально-техническӧй подувсӧ бурмӧдӧм («Сьӧлӧм-сӧн висьӧмъясӧн висьысьяслы медицина отсӧг сетан пӧрадок вынсьӧдӧм йылысь» Россия Федерацияса йӧзлысь дзоньвидзалун видзан министерстволӧн 2012 во вӧльгым тӧлысь 15 лунся 918н №-а тшӧктӧд серти)</t>
    </r>
  </si>
  <si>
    <t>Шӧр мероприятие 2.0601.</t>
  </si>
  <si>
    <r>
      <t>О</t>
    </r>
    <r>
      <rPr>
        <sz val="14"/>
        <color indexed="8"/>
        <rFont val="Times New Roman"/>
        <family val="1"/>
      </rPr>
      <t>нкология висьӧмъясысь видзан мераяс бурмӧдӧм</t>
    </r>
  </si>
  <si>
    <t>Шӧр мероприятие 2.0602.</t>
  </si>
  <si>
    <r>
      <t xml:space="preserve"> А</t>
    </r>
    <r>
      <rPr>
        <sz val="14"/>
        <color indexed="8"/>
        <rFont val="Times New Roman"/>
        <family val="1"/>
      </rPr>
      <t>мбулаторнӧй условиеясын онкология висьӧмъяс водз тӧдмалӧм бурмӧдӧм</t>
    </r>
  </si>
  <si>
    <t>0902
0909</t>
  </si>
  <si>
    <t>01.2.0602</t>
  </si>
  <si>
    <t>Шӧр мероприятие 2.0603.</t>
  </si>
  <si>
    <r>
      <t>О</t>
    </r>
    <r>
      <rPr>
        <sz val="14"/>
        <color indexed="8"/>
        <rFont val="Times New Roman"/>
        <family val="1"/>
      </rPr>
      <t>нкология висьӧмъяс дырйи висьӧмысь видзан мераясын, найӧс диагностируйтӧмын, бурдӧдӧмын да реабилитируйтӧмын методъяс бурмӧдӧм</t>
    </r>
  </si>
  <si>
    <t>Шӧр мероприятие 2.0604.</t>
  </si>
  <si>
    <r>
      <t>О</t>
    </r>
    <r>
      <rPr>
        <sz val="14"/>
        <color indexed="8"/>
        <rFont val="Times New Roman"/>
        <family val="1"/>
      </rPr>
      <t>нкология висьӧмъясӧн висьысьяслы медицина отсӧг сетӧмын, тшӧтш индӧм висьӧмъяссӧ водз тӧдмалӧмын, медицинаын уджалысьяслысь уджсикасын тӧдӧмлунъяс да кужӧмлунъяс паськӧдӧм</t>
    </r>
  </si>
  <si>
    <t>Шӧр мероприятие 2.0605.</t>
  </si>
  <si>
    <r>
      <t>Й</t>
    </r>
    <r>
      <rPr>
        <sz val="14"/>
        <color indexed="8"/>
        <rFont val="Times New Roman"/>
        <family val="1"/>
      </rPr>
      <t xml:space="preserve">ӧзлысь дзоньвидзалун видзан учреждениеяслысь, кутшӧмъяс тшӧтш сетӧны медицина отсӧг онкология висьӧмъясӧн висьысьяслы, материально-техническӧй подувсӧ бурмӧдӧм (“Верстьӧ олысьяслы “онкология” профиль серти медицина отсӧг сетан пӧрадок вынсьӧдӧм йылысь” Россия Федерацияса йӧзлысь дзоньвидзалун видзан министерстволӧн 2012 во вӧльгым тӧлысь 15 лунся 915н №-а тшӧктӧд серти)
</t>
    </r>
  </si>
  <si>
    <t>01.2.0605</t>
  </si>
  <si>
    <t>Шӧр мероприятие 2.0606.</t>
  </si>
  <si>
    <r>
      <t>Й</t>
    </r>
    <r>
      <rPr>
        <sz val="14"/>
        <color indexed="8"/>
        <rFont val="Times New Roman"/>
        <family val="1"/>
      </rPr>
      <t>ӧзлысь дзоньвидзалун видзан объектъяс канму коланлун вылӧ стрӧитӧм да выльмӧдӧм</t>
    </r>
  </si>
  <si>
    <t>828</t>
  </si>
  <si>
    <t>01.2.0606</t>
  </si>
  <si>
    <t>Шӧр мероприятие 2.0701.</t>
  </si>
  <si>
    <r>
      <t>Э</t>
    </r>
    <r>
      <rPr>
        <sz val="14"/>
        <color indexed="8"/>
        <rFont val="Times New Roman"/>
        <family val="1"/>
      </rPr>
      <t>новтны позьтӧм отсӧг сетан юкӧнъяс котыртӧм (Коми Республикаса йӧзлысь дзоньвидзалун видзан учреждениеяслӧн подув вылын)</t>
    </r>
  </si>
  <si>
    <t>Шӧр мероприятие 2.0702.</t>
  </si>
  <si>
    <r>
      <t>Р</t>
    </r>
    <r>
      <rPr>
        <sz val="16"/>
        <color indexed="8"/>
        <rFont val="Times New Roman"/>
        <family val="1"/>
      </rPr>
      <t>егыдъя медицина отсӧг службалысь уджсӧ бурмӧдӧм (Россия Федерацияса йӧзлысь дзоньвидзалун видзан да йӧзлы отсӧг сетан министерстволӧн 2004 во вӧльгым тӧлысь 1 лунся 179 №-а тшӧктӧд серти)</t>
    </r>
  </si>
  <si>
    <t>0904</t>
  </si>
  <si>
    <t>01.2.0702</t>
  </si>
  <si>
    <t>Шӧр мероприятие 2.0703.</t>
  </si>
  <si>
    <t>Коми Республикаса санитарнӧй авиация службалысь уджсӧ бурмӧдӧм</t>
  </si>
  <si>
    <t>01.2.0703</t>
  </si>
  <si>
    <t>Шӧр мероприятие 2.0704.</t>
  </si>
  <si>
    <r>
      <t>М</t>
    </r>
    <r>
      <rPr>
        <sz val="16"/>
        <color indexed="8"/>
        <rFont val="Times New Roman"/>
        <family val="1"/>
      </rPr>
      <t>ирнӧй да война мунан кадӧ виччысьтӧмторъяс лоигӧн коставлытӧг уджалӧм вылӧ йӧзлысь дзоньвидзалун видзан учреждениеяслы условиеяс лӧсьӧдӧм</t>
    </r>
  </si>
  <si>
    <t>01.2.0704</t>
  </si>
  <si>
    <t>111
112
244</t>
  </si>
  <si>
    <t>Шӧр мероприятие 2.0801.</t>
  </si>
  <si>
    <t>Неминучаӧ веськалӧмалы республиканскӧй медицина отсӧг сетан шӧрин подув вылын 3 туйбердса ветлӧдлан медицина пункт котыртӧм</t>
  </si>
  <si>
    <t>Шӧр мероприятие 2.0802.</t>
  </si>
  <si>
    <t>Коми Республика мутасын федеральнӧй да дінмуса автомашина туйяс пӧлӧн травматология шӧринъяслысь система котыртӧм</t>
  </si>
  <si>
    <t>01.2.0802</t>
  </si>
  <si>
    <t>Шӧр мероприятие 2.0803.</t>
  </si>
  <si>
    <t>Виччысьтӧмторъяс ӧлӧдан да бырӧдан ӧтувъя 112 системалӧн вынӧн да средствоясӧн ӧтувъя удж вылӧ регыдъя медицина отсӧг сетан юкӧдувъяслысь диспетчерскӧй служба могмӧдӧм</t>
  </si>
  <si>
    <t>Шӧр мероприятие 2.0804.</t>
  </si>
  <si>
    <r>
      <t>В</t>
    </r>
    <r>
      <rPr>
        <sz val="16"/>
        <color indexed="8"/>
        <rFont val="Times New Roman"/>
        <family val="1"/>
      </rPr>
      <t xml:space="preserve">рачьясӧс да шӧр медицинскӧй персоналӧс, доръян службаса (Россия Федерацияса войтырӧс доръян, виччысьтӧмторйысь видзан да ускӧттьӧ бӧрын лоӧмтор бырӧдан министерствоса, сы лыдын Россия Федерацияса войтырӧс доръян, виччысьтӧмторйысь видзан да ускӧттьӧ бӧрын лоӧмтор бырӧдан Коми Республикаын медшӧр веськӧдланінса, Россия Федерацияса пытшкӧс делӧяс министерстволӧн Туй вылын лёк суӧмысь видзан канму инспекцияса) уджалысьясӧс Катастрофаяс кузя медицина школалӧн подув вылын медводдза отсӧг сетан уджтас кузя уджысь орӧдчывтӧг велӧдан система котыртӧм
</t>
    </r>
  </si>
  <si>
    <t>01.2.0804</t>
  </si>
  <si>
    <t>Шӧр мероприятие 2.0901.</t>
  </si>
  <si>
    <r>
      <t>С</t>
    </r>
    <r>
      <rPr>
        <sz val="14"/>
        <color indexed="8"/>
        <rFont val="Times New Roman"/>
        <family val="1"/>
      </rPr>
      <t>тационарнӧй медицина отсӧг сӧвмӧдӧм</t>
    </r>
  </si>
  <si>
    <t>0901
0902
0909</t>
  </si>
  <si>
    <t>01.2.0901</t>
  </si>
  <si>
    <t>611
612
621
622</t>
  </si>
  <si>
    <t>Шӧр мероприятие 2.0902.</t>
  </si>
  <si>
    <r>
      <t>С</t>
    </r>
    <r>
      <rPr>
        <sz val="14"/>
        <color indexed="8"/>
        <rFont val="Times New Roman"/>
        <family val="1"/>
      </rPr>
      <t>тационар вежан технологияяс сӧвмӧдӧм</t>
    </r>
  </si>
  <si>
    <t>Шӧр мероприятие 2.0903.</t>
  </si>
  <si>
    <r>
      <t>М</t>
    </r>
    <r>
      <rPr>
        <sz val="14"/>
        <color indexed="8"/>
        <rFont val="Times New Roman"/>
        <family val="1"/>
      </rPr>
      <t>едицина отсӧг сетан пӧрадокъяс да стандартъяс пыртӧм вылӧ условиеяс лӧсьӧдӧм</t>
    </r>
  </si>
  <si>
    <t>01.2.0903</t>
  </si>
  <si>
    <t>Шӧр мероприятие 2.0904.</t>
  </si>
  <si>
    <r>
      <t>М</t>
    </r>
    <r>
      <rPr>
        <sz val="14"/>
        <color indexed="8"/>
        <rFont val="Times New Roman"/>
        <family val="1"/>
      </rPr>
      <t>едицина организацияясын маршрутизация служба лӧсьӧдӧм, кутшӧм кывкутӧ бурдӧдчанінысь петысь висьысьясӧс дзикӧдз бурдӧдӧм да реабилитируйтӧм котыртӧм вӧсна, а сідзжӧ выль медицина технологияяс пыртӧм</t>
    </r>
  </si>
  <si>
    <t>Шӧр мероприятие 2.0905.</t>
  </si>
  <si>
    <t>01.2.0905</t>
  </si>
  <si>
    <t>Шӧр мероприятие 2.1001.</t>
  </si>
  <si>
    <t>Коми Республикаса йӧзлысь дзоньвидзалун видзан канму учреждениеяс подув вылын вылыс технологияа медицина отсӧг сетӧм котыртӧм</t>
  </si>
  <si>
    <t>01.2.1001</t>
  </si>
  <si>
    <t>Шӧр мероприятие 2.1002.</t>
  </si>
  <si>
    <t>Федеральнӧй медицина учреждениеяс подув вылын вылыс технологияа медицина отсӧг сетӧм котыртӧм</t>
  </si>
  <si>
    <t>01.2.1002</t>
  </si>
  <si>
    <t>Шӧр мероприятие 2.1003.</t>
  </si>
  <si>
    <t>2014 во чӧжӧн медицинскӧя быть страхуйтан системаӧ паськыда тиражируйтӧм вылыс технологияа медицина отсӧг сетан торъя сикасъяс вуджӧдӧм котыртӧм</t>
  </si>
  <si>
    <t>Шӧр мероприятие 2.1004.</t>
  </si>
  <si>
    <t>2015 вося тӧвшӧр тӧлысь 1 лунсянь  вылыс (вывті дона) медицина технологияяс отсӧгӧн медицина отсӧг сетӧм медицинскӧя быть страхуйтан системаӧ вуджӧдӧм котыртӧм</t>
  </si>
  <si>
    <t>Шӧр мероприятие 2.1101.</t>
  </si>
  <si>
    <r>
      <t>В</t>
    </r>
    <r>
      <rPr>
        <sz val="16"/>
        <color indexed="8"/>
        <rFont val="Times New Roman"/>
        <family val="1"/>
      </rPr>
      <t>ир да сылысь компонентъяс сӧвмӧдӧм, сійӧс котыртӧм бурмӧдӧм</t>
    </r>
  </si>
  <si>
    <t>0906</t>
  </si>
  <si>
    <t>01.2.1101</t>
  </si>
  <si>
    <t>Шӧр мероприятие 2.1102.</t>
  </si>
  <si>
    <r>
      <t>С</t>
    </r>
    <r>
      <rPr>
        <sz val="14"/>
        <color indexed="8"/>
        <rFont val="Times New Roman"/>
        <family val="1"/>
      </rPr>
      <t>етӧм вир лӧсьӧдӧм, выльмӧдӧм, видзӧм да нуӧм вылӧ да торъя компонентъяс вӧчӧм вылӧ вир служба бур оборудованиеӧн да видзан материалъясӧн могмӧдӧм</t>
    </r>
  </si>
  <si>
    <t>Шӧр мероприятие 2.1103.</t>
  </si>
  <si>
    <r>
      <t>В</t>
    </r>
    <r>
      <rPr>
        <sz val="14"/>
        <color indexed="8"/>
        <rFont val="Times New Roman"/>
        <family val="1"/>
      </rPr>
      <t>ир да сылысь торъя компонентъяс вирусъясысь видзӧм могмӧдан бур система лӧсьӧдӧм</t>
    </r>
  </si>
  <si>
    <t>Шӧр мероприятие 2.1104.</t>
  </si>
  <si>
    <r>
      <t>В</t>
    </r>
    <r>
      <rPr>
        <sz val="14"/>
        <color indexed="8"/>
        <rFont val="Times New Roman"/>
        <family val="1"/>
      </rPr>
      <t>ир служба учреждениеяслысь материально-техническӧй подувсӧ бурмӧдӧм</t>
    </r>
  </si>
  <si>
    <t>01.2.1104</t>
  </si>
  <si>
    <t>Шӧр мероприятие 2.1105.</t>
  </si>
  <si>
    <r>
      <t>В</t>
    </r>
    <r>
      <rPr>
        <sz val="14"/>
        <color indexed="8"/>
        <rFont val="Times New Roman"/>
        <family val="1"/>
      </rPr>
      <t>ир службаын удж котыртӧмын, юӧртӧмын да донъялӧмын ӧнія системаяс пыртӧм, кадръяс дасьтӧм</t>
    </r>
  </si>
  <si>
    <t>3 уджтасув</t>
  </si>
  <si>
    <t>Мамлысь да кагалысь дзоньвидзалун видзӧм</t>
  </si>
  <si>
    <t>Шӧр мероприятие 3.0101.</t>
  </si>
  <si>
    <r>
      <t>“</t>
    </r>
    <r>
      <rPr>
        <sz val="14"/>
        <color indexed="18"/>
        <rFont val="Times New Roman"/>
        <family val="1"/>
      </rPr>
      <t>Коми республиканскӧй перинатальнӧй шӧрин” Коми Республикаса йӧзлысь дзоньвидзалун видзан канму сьӧмкуд учреждениелысь уджсӧ бурмӧдӧм</t>
    </r>
  </si>
  <si>
    <t>Шӧр мероприятие 3.0102.</t>
  </si>
  <si>
    <r>
      <t>“</t>
    </r>
    <r>
      <rPr>
        <sz val="14"/>
        <color indexed="8"/>
        <rFont val="Times New Roman"/>
        <family val="1"/>
      </rPr>
      <t xml:space="preserve">Ухтаса мутасъяслӧн </t>
    </r>
    <r>
      <rPr>
        <sz val="14"/>
        <color indexed="18"/>
        <rFont val="Times New Roman"/>
        <family val="1"/>
      </rPr>
      <t>кага чужтан керка” Коми Республикаса йӧзлысь дзоньвидзалун видзан канму сьӧмкуд учреждениелысь уджсӧ выль ног котыртӧм</t>
    </r>
  </si>
  <si>
    <t>Шӧр мероприятие 3.0103.</t>
  </si>
  <si>
    <r>
      <t>П</t>
    </r>
    <r>
      <rPr>
        <sz val="14"/>
        <color indexed="18"/>
        <rFont val="Times New Roman"/>
        <family val="1"/>
      </rPr>
      <t>еринатальнӧй отсӧг котыртан куим тшупӧда системаын нӧбасьысьяслысь, кага чужтысьяслысь да пузчужӧм кагаяслысь ветлан туйсӧ бурмӧдӧм</t>
    </r>
  </si>
  <si>
    <t>Шӧр мероприятие 3.0104.</t>
  </si>
  <si>
    <r>
      <t>Т</t>
    </r>
    <r>
      <rPr>
        <sz val="14"/>
        <color indexed="18"/>
        <rFont val="Times New Roman"/>
        <family val="1"/>
      </rPr>
      <t>уйӧ петан анестезиолого-реанимационнӧй акушерскӧй да неонатальнӧй бригадаясӧн ылісянь консультируйтан шӧринлысь уджсӧ бурмӧдӧм</t>
    </r>
  </si>
  <si>
    <t>Шӧр мероприятие 3.0105.</t>
  </si>
  <si>
    <r>
      <t>П</t>
    </r>
    <r>
      <rPr>
        <sz val="14"/>
        <color indexed="18"/>
        <rFont val="Times New Roman"/>
        <family val="1"/>
      </rPr>
      <t>еринатальнӧй шӧрин подув вылын пузчужӧм кагаяслы содтӧд реанимация да интенсивнӧй терапия койкаяс котыртӧм, кутшӧмъясӧс могмӧдӧма ӧнія вылыс технологияа оборудованиеӧн</t>
    </r>
  </si>
  <si>
    <t>Шӧр мероприятие 3.0106.</t>
  </si>
  <si>
    <r>
      <t>Й</t>
    </r>
    <r>
      <rPr>
        <sz val="14"/>
        <color indexed="18"/>
        <rFont val="Times New Roman"/>
        <family val="1"/>
      </rPr>
      <t xml:space="preserve">ӧзлысь дзоньвидзалун видзан учреждениеяслысь, кутшӧмъяс сетӧны «акушерство да гинекология» специальносьт кузя медицина отсӧг, удж котыртӧм (Акушерство да гинекология отсӧг сетан пӧрадок серти, мый вынсьӧдӧма Россия Федерацияса йӧзлысь дзоньвидзалун видзан министерстволӧн 2012 во вӧльгым тӧлысь 1 лунся 572н №-а тшӧктӧдӧн)
</t>
    </r>
  </si>
  <si>
    <t>01.3.0106</t>
  </si>
  <si>
    <t>611
612</t>
  </si>
  <si>
    <t>Шӧр мероприятие 3.0107.</t>
  </si>
  <si>
    <t>01.3.0107</t>
  </si>
  <si>
    <t>Шӧр мероприятие 3.0201.</t>
  </si>
  <si>
    <r>
      <t>К</t>
    </r>
    <r>
      <rPr>
        <sz val="14"/>
        <color indexed="18"/>
        <rFont val="Times New Roman"/>
        <family val="1"/>
      </rPr>
      <t>ага сӧвмӧмын торкӧмъяс перинатальнӧй (чужтӧдзыс) тӧдмалӧм бурмӧдӧм</t>
    </r>
  </si>
  <si>
    <t>01.3.0201</t>
  </si>
  <si>
    <t>01.3.5079</t>
  </si>
  <si>
    <t>Шӧр мероприятие 3.0202.</t>
  </si>
  <si>
    <r>
      <t>Ф</t>
    </r>
    <r>
      <rPr>
        <sz val="16"/>
        <color indexed="18"/>
        <rFont val="Times New Roman"/>
        <family val="1"/>
      </rPr>
      <t>етальнӧй (кынӧм пытшкын) да неонатальнӧй хирургия бурмӧдӧм</t>
    </r>
  </si>
  <si>
    <t>Шӧр мероприятие 3.0203.</t>
  </si>
  <si>
    <r>
      <t>Н</t>
    </r>
    <r>
      <rPr>
        <sz val="16"/>
        <color indexed="18"/>
        <rFont val="Times New Roman"/>
        <family val="1"/>
      </rPr>
      <t>еонатальнӧй скрининг котыртӧм бурмӧдӧм</t>
    </r>
  </si>
  <si>
    <t>01.3.0203</t>
  </si>
  <si>
    <t>01.3.5073</t>
  </si>
  <si>
    <t>Шӧр мероприятие 3.0204.</t>
  </si>
  <si>
    <r>
      <t>М</t>
    </r>
    <r>
      <rPr>
        <sz val="14"/>
        <color indexed="18"/>
        <rFont val="Times New Roman"/>
        <family val="1"/>
      </rPr>
      <t>едводдза во олысь кагаяслы аудиологическӧй скрининг котыртӧм бурмӧдӧм</t>
    </r>
  </si>
  <si>
    <t>Шӧр мероприятие 3.0301.</t>
  </si>
  <si>
    <r>
      <t>Й</t>
    </r>
    <r>
      <rPr>
        <sz val="16"/>
        <color indexed="18"/>
        <rFont val="Times New Roman"/>
        <family val="1"/>
      </rPr>
      <t xml:space="preserve">ӧзлысь дзоньвидзалун видзан учреждениеяслысь, кутшӧмъяс сетӧны «неонатология» профиль серти медицина отсӧг, удж бурмӧдӧм (Россия Федерацияса йӧзлысь дзоньвидзалун видзан министерстволӧн 2012 во вӧльгым тӧлысь 15 лунся 921н №-а тшӧктӧдӧн вынсьӧдӧм пӧрадок серти)
</t>
    </r>
  </si>
  <si>
    <t>Шӧр мероприятие 3.0302.</t>
  </si>
  <si>
    <r>
      <t>Кадысь водз чужӧм</t>
    </r>
    <r>
      <rPr>
        <sz val="16"/>
        <color indexed="18"/>
        <rFont val="Times New Roman"/>
        <family val="1"/>
      </rPr>
      <t xml:space="preserve"> кагаясӧс, кодъяс чужисны этша да лоны позьтӧм этша сьӧктаӧн, сы лыдын кодъясӧс ыстісны сьӧкыд вермытӧмлунысь (аддзытӧмысь, пельтӧммӧмысь) профилактика нуӧдӧм вылӧ, тӧралӧмын да реабилитируйтӧмын выль технологияяс пыртӧм
</t>
    </r>
  </si>
  <si>
    <t>Шӧр мероприятие 3.0303.</t>
  </si>
  <si>
    <r>
      <t>Л</t>
    </r>
    <r>
      <rPr>
        <sz val="14"/>
        <color indexed="18"/>
        <rFont val="Times New Roman"/>
        <family val="1"/>
      </rPr>
      <t>оны позьтӧм этша сьӧкта кагаясӧс тӧралӧмын вермӧмъяс кузя регистр нуӧдӧм котыртӧм</t>
    </r>
  </si>
  <si>
    <t>Шӧр мероприятие 3.0304.</t>
  </si>
  <si>
    <t>0905</t>
  </si>
  <si>
    <t>01.3.0304</t>
  </si>
  <si>
    <t>Шӧр мероприятие 3.0401.</t>
  </si>
  <si>
    <t>Коми Республикаса йӧзлысь дзоньвидзалун видзан канму учреждениеяс подув вылын челядьлы быд сикас специализируйтӧм стационарнӧй медицина отсӧг котыртӧм бурмӧдӧм</t>
  </si>
  <si>
    <t>Шӧр мероприятие 3.0402.</t>
  </si>
  <si>
    <r>
      <t>Д</t>
    </r>
    <r>
      <rPr>
        <sz val="14"/>
        <color indexed="18"/>
        <rFont val="Times New Roman"/>
        <family val="1"/>
      </rPr>
      <t>зоньвидзалун видзан учреждениеясын педиатрическӧй куйлан фонд выльысь профилируйтӧм да выль тэчасӧ вуджӧдӧм</t>
    </r>
  </si>
  <si>
    <t>Шӧр мероприятие 3.0403.</t>
  </si>
  <si>
    <r>
      <t>Ч</t>
    </r>
    <r>
      <rPr>
        <sz val="14"/>
        <color indexed="18"/>
        <rFont val="Times New Roman"/>
        <family val="1"/>
      </rPr>
      <t>елядьлы специализируйтӧм медицина отсӧгсӧ тшупӧдъясӧн сетӧм могмӧдӧм, пациентъяслысь ветлӧдлан туйнысӧ да дзоньвидзалун видзан учреждениеяслысь ӧтувъя уджсӧ бурмӧдӧм, кутшӧмъяс видзӧдӧны да сетӧны челядьлы специализируйтӧм медицина отсӧг</t>
    </r>
  </si>
  <si>
    <t>Шӧр мероприятие 3.0404.</t>
  </si>
  <si>
    <r>
      <t>И</t>
    </r>
    <r>
      <rPr>
        <sz val="14"/>
        <color indexed="18"/>
        <rFont val="Times New Roman"/>
        <family val="1"/>
      </rPr>
      <t>чӧт войтырлы амбулаторияын специализируйтӧм медицина отсӧг сетӧм матыстӧм (Коми Республикаса йӧзлысь дзоньвидзалун видзан канму учреждениеяслӧн подув вылын)</t>
    </r>
  </si>
  <si>
    <t>Шӧр мероприятие 3.0405.</t>
  </si>
  <si>
    <r>
      <t>С</t>
    </r>
    <r>
      <rPr>
        <sz val="14"/>
        <color indexed="18"/>
        <rFont val="Times New Roman"/>
        <family val="1"/>
      </rPr>
      <t>пециализируйтӧм медицина отсӧг сетӧм вылӧ условиеяс лӧсьӧдӧм сійӧс сетан стандартъяс серти</t>
    </r>
  </si>
  <si>
    <t>01.3.0405</t>
  </si>
  <si>
    <t>Шӧр мероприятие 3.0406.</t>
  </si>
  <si>
    <r>
      <t>Й</t>
    </r>
    <r>
      <rPr>
        <sz val="14"/>
        <color indexed="18"/>
        <rFont val="Times New Roman"/>
        <family val="1"/>
      </rPr>
      <t>ӧзлысь дзоньвидзалун видзан учреждениеяслысь, кутшӧмъяс тшӧтш сетӧны челядьлы специализируйтӧм медицина отсӧг, удж котыртӧм (Россия Федерацияса йӧзлысь дзоньвидзалун видзан министерстволӧн тшӧктӧдъясӧн вынсьӧдӧм пӧрадокъяс подув вылын)</t>
    </r>
  </si>
  <si>
    <t>01.3.0406</t>
  </si>
  <si>
    <t>Шӧр мероприятие 3.0407.</t>
  </si>
  <si>
    <r>
      <t>К</t>
    </r>
    <r>
      <rPr>
        <sz val="14"/>
        <color indexed="18"/>
        <rFont val="Times New Roman"/>
        <family val="1"/>
      </rPr>
      <t>узя висьысь челядьлысь регистръяс лӧсьӧдӧм да бура кутӧм</t>
    </r>
  </si>
  <si>
    <t>Шӧр мероприятие 3.0408.</t>
  </si>
  <si>
    <t>“Челядьлы республиканскӧй  больнича” канму учреждениеса здание выльмӧдӧм вылӧ федеральнӧй сьӧмӧн могмӧдан юалӧм кузя Россия Федерацияса йӧзлысь дзоньвидзалун видзан министерствокӧд ӧтувъя удж нуӧдӧм</t>
  </si>
  <si>
    <t>Шӧр мероприятие 3.0409.</t>
  </si>
  <si>
    <r>
      <t>А</t>
    </r>
    <r>
      <rPr>
        <sz val="14"/>
        <color indexed="18"/>
        <rFont val="Times New Roman"/>
        <family val="1"/>
      </rPr>
      <t>мбулаторно-поликлиническӧй да стационарнӧй учреждениеяс тшупӧдын, кутшӧмъяс сетӧны челядьлы медицина отсӧг, стационар вежан технологияяс паськыда пыртӧм</t>
    </r>
  </si>
  <si>
    <t>Шӧр мероприятие 3.0410.</t>
  </si>
  <si>
    <r>
      <t>Т</t>
    </r>
    <r>
      <rPr>
        <sz val="14"/>
        <color indexed="18"/>
        <rFont val="Times New Roman"/>
        <family val="1"/>
      </rPr>
      <t xml:space="preserve">омуловлы медицина отсӧг сетӧм котыртӧм бурмӧдӧм
</t>
    </r>
  </si>
  <si>
    <t>01.3.0410</t>
  </si>
  <si>
    <t>Шӧр мероприятие 3.0411.</t>
  </si>
  <si>
    <r>
      <t>П</t>
    </r>
    <r>
      <rPr>
        <sz val="14"/>
        <color indexed="18"/>
        <rFont val="Times New Roman"/>
        <family val="1"/>
      </rPr>
      <t>икӧ воӧм челядьлы медицина отсӧг сетӧм котыртӧм бурмӧдӧм</t>
    </r>
  </si>
  <si>
    <t>Шӧр мероприятие 3.0412.</t>
  </si>
  <si>
    <t>Кага керкаяслысь уджсӧ бурмӧдӧм</t>
  </si>
  <si>
    <t>01.3.0412</t>
  </si>
  <si>
    <t>611,   612</t>
  </si>
  <si>
    <t>Шӧр мероприятие 3.0413.</t>
  </si>
  <si>
    <r>
      <t>Общеобразовательнӧй</t>
    </r>
    <r>
      <rPr>
        <sz val="14"/>
        <color indexed="18"/>
        <rFont val="Times New Roman"/>
        <family val="1"/>
      </rPr>
      <t xml:space="preserve"> учреждениеясын челядьлы медицина отсӧг сетӧм бурмӧдӧм</t>
    </r>
  </si>
  <si>
    <t>01.3.0413</t>
  </si>
  <si>
    <t>Шӧр мероприятие 3.0501.</t>
  </si>
  <si>
    <r>
      <t>М</t>
    </r>
    <r>
      <rPr>
        <sz val="14"/>
        <color indexed="18"/>
        <rFont val="Times New Roman"/>
        <family val="1"/>
      </rPr>
      <t>амсянь плодыслы ВИЧ веськыда вуджӧмкӧд тышын ӧнія методъяс пыртӧм</t>
    </r>
  </si>
  <si>
    <t>Шӧр мероприятие 3.0502.</t>
  </si>
  <si>
    <t>ВИЧ-инфекция мамъяссянь чужӧм челядьӧс колана йӧв сорасӧн чужӧмсянь дон босьттӧг могмӧдӧм</t>
  </si>
  <si>
    <t>Шӧр мероприятие 3.0503.</t>
  </si>
  <si>
    <r>
      <t>М</t>
    </r>
    <r>
      <rPr>
        <sz val="14"/>
        <color indexed="18"/>
        <rFont val="Times New Roman"/>
        <family val="1"/>
      </rPr>
      <t xml:space="preserve">амсянь кагалы ВИЧ-инфекция вуджӧмысь видзан мераяс йылысь йӧзлы юӧр сетӧм бурмӧдӧм
</t>
    </r>
  </si>
  <si>
    <t>Шӧр мероприятие 3.0601.</t>
  </si>
  <si>
    <r>
      <t>П</t>
    </r>
    <r>
      <rPr>
        <sz val="14"/>
        <color indexed="18"/>
        <rFont val="Times New Roman"/>
        <family val="1"/>
      </rPr>
      <t>икӧ воӧм нӧбасьысьяслы медико-социальнӧй отсӧг сетан шӧринъяслысь уджсӧ бурмӧдӧм</t>
    </r>
  </si>
  <si>
    <t>Шӧр мероприятие 3.0602.</t>
  </si>
  <si>
    <r>
      <t>С</t>
    </r>
    <r>
      <rPr>
        <sz val="14"/>
        <color indexed="18"/>
        <rFont val="Times New Roman"/>
        <family val="1"/>
      </rPr>
      <t>оциальнӧй риск группаясысь нывбабаясӧс да томуловӧс контрацептивъясӧн дон босьттӧг могмӧдӧм</t>
    </r>
  </si>
  <si>
    <t>01.3.0602</t>
  </si>
  <si>
    <t>Шӧр мероприятие 3.0603.</t>
  </si>
  <si>
    <r>
      <t>С</t>
    </r>
    <r>
      <rPr>
        <sz val="14"/>
        <color indexed="18"/>
        <rFont val="Times New Roman"/>
        <family val="1"/>
      </rPr>
      <t xml:space="preserve">емья лӧсьӧдӧмын да гозъялысь дзоньвидзалун бурмӧдӧмын юалӧмъяс кузя юӧр тӧдӧм йӧзлысь кыпӧдӧм
</t>
    </r>
  </si>
  <si>
    <t>01.3.0603</t>
  </si>
  <si>
    <t>4 уджтасув</t>
  </si>
  <si>
    <t>Медицина реабилитация да санаторно-курортнӧй бурдӧдӧм сӧвмӧдӧм, сы лыдын челядьлы</t>
  </si>
  <si>
    <t>Шӧр мероприятие 4.0101.</t>
  </si>
  <si>
    <r>
      <t xml:space="preserve"> Ӧ</t>
    </r>
    <r>
      <rPr>
        <sz val="14"/>
        <color indexed="18"/>
        <rFont val="Times New Roman"/>
        <family val="1"/>
      </rPr>
      <t>нія медицинскӧй оборудованиеӧн помӧдз могмӧдӧм, кутшӧмӧн вӧдитчӧны комплекснӧя реабилитационнӧя бурдӧдігӧн</t>
    </r>
  </si>
  <si>
    <t>Шӧр мероприятие 4.0102.</t>
  </si>
  <si>
    <r>
      <t>М</t>
    </r>
    <r>
      <rPr>
        <sz val="14"/>
        <color indexed="18"/>
        <rFont val="Times New Roman"/>
        <family val="1"/>
      </rPr>
      <t>едицинскӧй реабилитацияын ӧнія технологияяс пыртӧм</t>
    </r>
  </si>
  <si>
    <t>Шӧр мероприятие 4.0103.</t>
  </si>
  <si>
    <r>
      <t>М</t>
    </r>
    <r>
      <rPr>
        <sz val="14"/>
        <color indexed="18"/>
        <rFont val="Times New Roman"/>
        <family val="1"/>
      </rPr>
      <t>едицинскӧй реабилитациялӧн I тшупӧдын юалӧмъяс кузя  медицинскӧй кадръяс дасьтӧм котыртӧм</t>
    </r>
  </si>
  <si>
    <t>Шӧр мероприятие 4.0104.</t>
  </si>
  <si>
    <r>
      <t>В</t>
    </r>
    <r>
      <rPr>
        <sz val="14"/>
        <color indexed="18"/>
        <rFont val="Times New Roman"/>
        <family val="1"/>
      </rPr>
      <t>исьысьясӧс реабилитируйтӧм котыртӧм вылӧ мультидисциплинарнӧй бригадаяс лӧсьӧдӧм</t>
    </r>
  </si>
  <si>
    <t>Шӧр мероприятие 4.0105.</t>
  </si>
  <si>
    <r>
      <t>Д</t>
    </r>
    <r>
      <rPr>
        <sz val="14"/>
        <color indexed="18"/>
        <rFont val="Times New Roman"/>
        <family val="1"/>
      </rPr>
      <t>зоньвидзалун видзан учреждениеясын пациентъяслысь ветлӧдлан туйнысӧ да реабилитируйтан отсӧг сетігӧн дзоньвидзалун видзан учреждениеяс костын ӧтувъя удж бурмӧдӧм</t>
    </r>
  </si>
  <si>
    <t>Шӧр мероприятие 4.0201.</t>
  </si>
  <si>
    <t>Реабилитациялӧн II тшупӧда отделениеяслысь удж котыртӧм (“Сыктывкарлӧн Эжва районса больнича” Коми Республикаса дзоньвидзалун видзан канму сьӧмкуд учреждение да “Войнаса ветеранъяслысь да тышъясса участникъяслысь дзоньвидзалун бурмӧдан да реабилитируйтан шӧрин” Коми Республикаса дзоньвидзалун видзан канму сьӧмкуд учреждение подув вылын)</t>
  </si>
  <si>
    <t>Шӧр мероприятие 4.0202.</t>
  </si>
  <si>
    <t>“Кардиологическӧй диспансер” Коми Республикаса канму учреждение подув вылын кардиологическӧй профиля пациентъяслы реабилитируйтан отделениелысь уджсӧ бурмӧдӧм</t>
  </si>
  <si>
    <t>Шӧр мероприятие 4.0203.</t>
  </si>
  <si>
    <r>
      <t>М</t>
    </r>
    <r>
      <rPr>
        <sz val="14"/>
        <color indexed="18"/>
        <rFont val="Times New Roman"/>
        <family val="1"/>
      </rPr>
      <t>едицинскӧй реабилитация сикасъяс да методъяс паськӧдӧм, кутшӧмъясӧс вӧзйӧма вӧдитчыны реабилитациялӧн II тшупӧдын</t>
    </r>
  </si>
  <si>
    <t>Шӧр мероприятие 4.0204.</t>
  </si>
  <si>
    <r>
      <t>М</t>
    </r>
    <r>
      <rPr>
        <sz val="14"/>
        <color indexed="18"/>
        <rFont val="Times New Roman"/>
        <family val="1"/>
      </rPr>
      <t>едицинскӧй реабилитациялӧн II тшупӧдын сійӧс сетан юалӧмъяс кузя медицина кадръяс дасьтӧм котыртӧм</t>
    </r>
  </si>
  <si>
    <t>Шӧр мероприятие 4.0205.</t>
  </si>
  <si>
    <r>
      <t>В</t>
    </r>
    <r>
      <rPr>
        <sz val="14"/>
        <color indexed="18"/>
        <rFont val="Times New Roman"/>
        <family val="1"/>
      </rPr>
      <t>исьысьясӧс реабилитируйтӧм вылӧ мультидисциплинарнӧй бригадаяс лӧсьӧдӧм</t>
    </r>
  </si>
  <si>
    <t>Шӧр мероприятие 4.0206.</t>
  </si>
  <si>
    <r>
      <t>П</t>
    </r>
    <r>
      <rPr>
        <sz val="14"/>
        <color indexed="18"/>
        <rFont val="Times New Roman"/>
        <family val="1"/>
      </rPr>
      <t xml:space="preserve">ациентъяслысь ветлӧдлан туй да реабилитируйтан II тшупӧдын отсӧг сетігӧн дзоньвидзалун видзан учреждениеяс костын ӧтувъя удж лӧсьӧдӧм да бурмӧдӧм
</t>
    </r>
  </si>
  <si>
    <t>Шӧр мероприятие 4.0207.</t>
  </si>
  <si>
    <r>
      <t>Ч</t>
    </r>
    <r>
      <rPr>
        <sz val="16"/>
        <color indexed="18"/>
        <rFont val="Times New Roman"/>
        <family val="1"/>
      </rPr>
      <t>елядьлы больничаясын специализируйтӧм койкаясысь юкӧн реабилитационнӧй койкаяс вылӧ вуджӧдӧм</t>
    </r>
  </si>
  <si>
    <t>Шӧр мероприятие 4.0301.</t>
  </si>
  <si>
    <r>
      <t>А</t>
    </r>
    <r>
      <rPr>
        <sz val="16"/>
        <color indexed="18"/>
        <rFont val="Times New Roman"/>
        <family val="1"/>
      </rPr>
      <t xml:space="preserve">мбулаторно-поликлиническӧй учреждениеясын реабилитация кабинетъяс (отделениеяс) ӧнія медицина оборудованиеӧн тырвыйӧ могмӧдӧм (выль пӧв могмӧдӧм), кутшӧмӧн вӧдитчӧны комплекснӧя реабилитационнӧя бурдӧдігӧн
</t>
    </r>
  </si>
  <si>
    <t>Шӧр мероприятие 4.0302.</t>
  </si>
  <si>
    <r>
      <t>А</t>
    </r>
    <r>
      <rPr>
        <sz val="16"/>
        <color indexed="18"/>
        <rFont val="Times New Roman"/>
        <family val="1"/>
      </rPr>
      <t>мбулаторно-поликлиническӧй учреждениеясын реабилитация кабинетъяслӧн (отделениеяслӧн) уджӧ ӧнія медицинскӧй реабилитация технологияяс пыртӧм</t>
    </r>
  </si>
  <si>
    <t>Шӧр мероприятие 4.0303.</t>
  </si>
  <si>
    <t>“Заполярье” санаторий-профилакторий подув вылын Воркута карса олысьяслы, сы лыдын челядьлы, медицинскӧй реабилитациялӧн III тшупӧд котыртӧм</t>
  </si>
  <si>
    <t>854</t>
  </si>
  <si>
    <t>01.4.0303</t>
  </si>
  <si>
    <t>621
622</t>
  </si>
  <si>
    <t>Шӧр мероприятие 4.0304.</t>
  </si>
  <si>
    <r>
      <t>М</t>
    </r>
    <r>
      <rPr>
        <sz val="16"/>
        <color indexed="18"/>
        <rFont val="Times New Roman"/>
        <family val="1"/>
      </rPr>
      <t xml:space="preserve">едицинскӧй реабилитациялӧн III тшупӧдын сійӧс сетан юалӧмъяс кузя медицина кадръяс дасьтӧм котыртӧм
</t>
    </r>
  </si>
  <si>
    <t>Шӧр мероприятие 4.0305.</t>
  </si>
  <si>
    <r>
      <t>В</t>
    </r>
    <r>
      <rPr>
        <sz val="16"/>
        <color indexed="18"/>
        <rFont val="Times New Roman"/>
        <family val="1"/>
      </rPr>
      <t>исьысьясӧс, кодъяслӧн сьӧкыда торксьӧма юр вемын вир ветлӧм, доймылӧма юр вемныс, тырвыйӧ бурдӧдӧм да реабилитируйтӧм вылӧ мультидисциплинарнӧй бригадаяс формируйтӧм да котыртӧм</t>
    </r>
  </si>
  <si>
    <t>Шӧр мероприятие 4.0306.</t>
  </si>
  <si>
    <r>
      <t>М</t>
    </r>
    <r>
      <rPr>
        <sz val="16"/>
        <color indexed="18"/>
        <rFont val="Times New Roman"/>
        <family val="1"/>
      </rPr>
      <t>едицинскӧй реабилитациялӧн куим тшупӧда тэчасын уджалӧм вылӧ мультидисциплинарнӧй бригадаясса специалистъяслы велӧдӧм котыртӧм, Войтыркостса уджалӧм да дзоньвидзалун классифицируйтӧмлӧн медшӧр положениеяс урчитӧмӧн</t>
    </r>
  </si>
  <si>
    <t>Шӧр мероприятие 4.0307.</t>
  </si>
  <si>
    <r>
      <t>Ч</t>
    </r>
    <r>
      <rPr>
        <sz val="16"/>
        <color indexed="18"/>
        <rFont val="Times New Roman"/>
        <family val="1"/>
      </rPr>
      <t xml:space="preserve">елядьлы амбулаторнӧй реабилитация отсӧг сетӧм дінму тшупӧд вылӧ вуджӧдӧм
</t>
    </r>
  </si>
  <si>
    <t>Шӧр мероприятие4.0401.</t>
  </si>
  <si>
    <t>Коми Республикаса санаторнӧй учреждениеяс подув вылын верстьӧ йӧзлы реабилитация отсӧг сетӧм бурмӧдӧм</t>
  </si>
  <si>
    <t>01.4.0401</t>
  </si>
  <si>
    <t>Шӧр мероприятие 4.0402.</t>
  </si>
  <si>
    <t>01.4.0402</t>
  </si>
  <si>
    <t>Шӧр мероприятие 4.0403.</t>
  </si>
  <si>
    <t>Челядьлы санаторийяс  (“Лӧзым” санаторий” Коми Республикаса асшӧрлуна канму учреждениелӧн, “Сус пу” челядьлы санаторий”, “Кӧрткерӧсса челядьлы туберкулёзӧн висьӧмысь санаторий”, “Кажым” челядьлы туберкулёзӧн висьӧмысь санаторий” Коми Республикаса йӧзлысь дзоньвидзалун видзан канму сьӧмкуд учреждениеяс) подув вылын челядьлы реабилитация отсӧг сетӧм бурмӧдӧм</t>
  </si>
  <si>
    <t>01.4.0403</t>
  </si>
  <si>
    <t>Шӧр мероприятие 4.0404.</t>
  </si>
  <si>
    <t xml:space="preserve">Коми Республика мутасын санаторно-курортнӧй учреждениеяслӧн уджӧ медицинскӧй реабилитация ӧнія технологияяс пыртӧм
</t>
  </si>
  <si>
    <t>Шӧр мероприятие 4.0405.</t>
  </si>
  <si>
    <r>
      <t>С</t>
    </r>
    <r>
      <rPr>
        <sz val="14"/>
        <color indexed="18"/>
        <rFont val="Times New Roman"/>
        <family val="1"/>
      </rPr>
      <t xml:space="preserve">анаторно-курортнӧй тшупӧдын медицинскӧй реабилитациялӧн юалӧмъяс кузя медицина кадръяс котыртӧм дасьтӧм
</t>
    </r>
  </si>
  <si>
    <t>Шӧр мероприятие 4.0406.</t>
  </si>
  <si>
    <t xml:space="preserve">Коми Республикаса республиканскӧй сьӧмкуд да федеральнӧй сьӧмкуд тшӧт весьтӧ Россия Федерацияса мӧд субъектлӧн да федеральнӧй подчинениеа санаторно-курортнӧй организацияясын реабилитациялысь санаторно-курортнӧй тшупӧд котыртӧм
</t>
  </si>
  <si>
    <t>5 уджтасув</t>
  </si>
  <si>
    <t>Паллиативнӧй отсӧг сетӧм, сы лыдын челядьлы</t>
  </si>
  <si>
    <t>Шӧр мероприятие 5.0101.</t>
  </si>
  <si>
    <r>
      <t>П</t>
    </r>
    <r>
      <rPr>
        <sz val="16"/>
        <color indexed="18"/>
        <rFont val="Times New Roman"/>
        <family val="1"/>
      </rPr>
      <t>аллиативнӧй отсӧг сетӧм котыртӧм (“Сыктывкарлӧн карса больнича” Коми Республикаса йӧзлысь дзоньвидзалун видзан канму сьӧмкуд учреждение подув вылын отделение, “Воркутаса регыдъя медицина отсӧг сетан больнича”, “Печора районса шӧр больнича”, “Сосногорск районса шӧр  больнича” Коми Республикаса йӧзлысь дзоньвидзалун видзан канму сьӧмкуд учреждениеяслӧн тэчасын юкӧдувъяс лӧсьӧдӧм)</t>
    </r>
  </si>
  <si>
    <t>01.5.0101</t>
  </si>
  <si>
    <t>Шӧр мероприятие 5.0102.</t>
  </si>
  <si>
    <r>
      <t>Ӧ</t>
    </r>
    <r>
      <rPr>
        <sz val="16"/>
        <color indexed="18"/>
        <rFont val="Times New Roman"/>
        <family val="1"/>
      </rPr>
      <t xml:space="preserve">тувъя бурдӧдан чукӧрысь амбулаторно-поликлиническӧй учреждениеясын паллиативнӧй отсӧг сетан кабинетъяс либӧ ветлӧмӧн паллиативнӧй отсӧг сетан патронажнӧй бригадаяс котыртӧм
</t>
    </r>
  </si>
  <si>
    <t>Шӧр мероприятие 5.0103.</t>
  </si>
  <si>
    <r>
      <t>С</t>
    </r>
    <r>
      <rPr>
        <sz val="14"/>
        <color indexed="18"/>
        <rFont val="Times New Roman"/>
        <family val="1"/>
      </rPr>
      <t>тав тшупӧдын мыджӧда отсӧг сетігӧн выль технологияяс пыртӧм</t>
    </r>
  </si>
  <si>
    <t>Шӧр мероприятие 5.0104.</t>
  </si>
  <si>
    <r>
      <t>П</t>
    </r>
    <r>
      <rPr>
        <sz val="16"/>
        <color indexed="18"/>
        <rFont val="Times New Roman"/>
        <family val="1"/>
      </rPr>
      <t xml:space="preserve">аллиативнӧй отсӧг сетан отделениелысь материально-техническӧй да ресурснӧй подувсӧ сӧвмӧдӧм
</t>
    </r>
    <r>
      <rPr>
        <sz val="14"/>
        <color indexed="18"/>
        <rFont val="Times New Roman"/>
        <family val="1"/>
      </rPr>
      <t xml:space="preserve">
</t>
    </r>
  </si>
  <si>
    <t>Шӧр мероприятие 5.0105.</t>
  </si>
  <si>
    <r>
      <t>П</t>
    </r>
    <r>
      <rPr>
        <sz val="16"/>
        <color indexed="18"/>
        <rFont val="Times New Roman"/>
        <family val="1"/>
      </rPr>
      <t>аллиативнӧй отсӧг сетан стационарнӧй отделениелы, паллиативнӧй отсӧг сетан кабинетъяслы да ветлӧмӧн паллиативнӧй отсӧг сетан бригадаяслы кадръяс дасьтӧм котыртӧм</t>
    </r>
  </si>
  <si>
    <t>Шӧр мероприятие 5.0106.</t>
  </si>
  <si>
    <r>
      <t>С</t>
    </r>
    <r>
      <rPr>
        <sz val="16"/>
        <color indexed="18"/>
        <rFont val="Times New Roman"/>
        <family val="1"/>
      </rPr>
      <t xml:space="preserve">естринскӧй тӧралан койкаяслысь удж бурмӧдӧм
</t>
    </r>
  </si>
  <si>
    <t>01.5.0106</t>
  </si>
  <si>
    <t>Шӧр мероприятие 5.0201.</t>
  </si>
  <si>
    <r>
      <t>Б</t>
    </r>
    <r>
      <rPr>
        <sz val="16"/>
        <color indexed="18"/>
        <rFont val="Times New Roman"/>
        <family val="1"/>
      </rPr>
      <t>урдлытӧм висьӧмъясӧн нёрпалысь челядьлы паллиативнӧй (хосписнӧй) отсӧг сетӧм вылӧ содтӧд койка лыд восьтӧм (“Республикаса челядьлы больнича” канму учреждение, “Ухтаса челядьлы больнича”, “Воркутаса челядьлы больнича”, “Инта карса шӧр  больнича”, “Печора районса шӧр больнича”, “Усинск районса шӧр  больнича” Коми Республикаса йӧзлысь дзоньвидзалун видзан канму сьӧмкуд учреждениеяс подув вылын)</t>
    </r>
  </si>
  <si>
    <t>01.5.0201</t>
  </si>
  <si>
    <t>Шӧр мероприятие 5.0202.</t>
  </si>
  <si>
    <r>
      <t>Д</t>
    </r>
    <r>
      <rPr>
        <sz val="16"/>
        <color indexed="18"/>
        <rFont val="Times New Roman"/>
        <family val="1"/>
      </rPr>
      <t>зоньвидзалун видзан учреждениеяслысь, кӧні эмӧсь челядьлы паллиативнӧй (хосписнӧй) койкаяс, материально-техническӧй да ресурснӧй подувсӧ сӧвмӧдӧм</t>
    </r>
  </si>
  <si>
    <t>Шӧр мероприятие 5.0203.</t>
  </si>
  <si>
    <t>Бурдлытӧм висьӧмъясӧн нёрпалысь челядь дорӧ ветлӧмӧн челядьлы поликлиникаяслысь (консультацияяслысь) удж котыртӧм</t>
  </si>
  <si>
    <t>Шӧр мероприятие 5.0204.</t>
  </si>
  <si>
    <r>
      <t>Ч</t>
    </r>
    <r>
      <rPr>
        <sz val="16"/>
        <color indexed="18"/>
        <rFont val="Times New Roman"/>
        <family val="1"/>
      </rPr>
      <t>елядьлы став тшупӧдын мыджӧда отсӧг сетігӧн выль технологияяс пыртӧм</t>
    </r>
  </si>
  <si>
    <t>Шӧр мероприятие 5.0205.</t>
  </si>
  <si>
    <r>
      <t>Б</t>
    </r>
    <r>
      <rPr>
        <sz val="16"/>
        <color indexed="18"/>
        <rFont val="Times New Roman"/>
        <family val="1"/>
      </rPr>
      <t xml:space="preserve">урдлытӧм висьӧмъясӧн нёрпалысь челядьлы да налӧн рӧдвужлы медико-социальнӧй да психологическӧй реабилитация нуӧдан юалӧмъяс кузя кадръяс дасьтӧм котыртӧм
</t>
    </r>
  </si>
  <si>
    <t>6 уджтасув</t>
  </si>
  <si>
    <t>Йӧзлысь дзоньвидзалун видзан система кадръясӧн могмӧдӧм</t>
  </si>
  <si>
    <t>Шӧр мероприятие 6.0101.</t>
  </si>
  <si>
    <t xml:space="preserve">Коми Республикаса “Дзоньвидзалун видзӧм” юкӧнлы вылыс тшупӧда да шӧр тшупӧда уджсикас тӧдӧмлуна кадрӧвӧй ресурсъясын ӧнія да водзӧ вылӧ коланлун планируйтӧм, тӧдмалӧм да мониторинг нуӧдӧм
</t>
  </si>
  <si>
    <t>Шӧр мероприятие 6.0102.</t>
  </si>
  <si>
    <r>
      <t>М</t>
    </r>
    <r>
      <rPr>
        <sz val="14"/>
        <color indexed="18"/>
        <rFont val="Times New Roman"/>
        <family val="1"/>
      </rPr>
      <t>едицинскӧй да фармацевтическӧй уджалысьяслӧн федеральнӧй регистрын дінмуса юкӧн нуӧдӧм</t>
    </r>
  </si>
  <si>
    <t>Шӧр мероприятие 6.0103.</t>
  </si>
  <si>
    <r>
      <t>“</t>
    </r>
    <r>
      <rPr>
        <sz val="14"/>
        <color indexed="18"/>
        <rFont val="Times New Roman"/>
        <family val="1"/>
      </rPr>
      <t xml:space="preserve">Ӧтуввез” юӧртан да телекоммуникационнӧй везйын Коми Республикаса йӧзлысь дзоньвидзалун видзан министерстволӧн официальнӧй сайт вылын, йӧзлысь дзоньвидзалун видзан канму учреждениеяслӧн вакансияясӧн электроннӧй база лӧсьӧдӧм
</t>
    </r>
  </si>
  <si>
    <t>Шӧр мероприятие 6.0201.</t>
  </si>
  <si>
    <r>
      <t>Ш</t>
    </r>
    <r>
      <rPr>
        <sz val="14"/>
        <color indexed="18"/>
        <rFont val="Times New Roman"/>
        <family val="1"/>
      </rPr>
      <t>ӧр тшупӧда уджсикасӧ да вылыс тшупӧда велӧдан уджтасъяс серти медицинскӧй да фармацевтическӧй уджалысьясӧс контракт вылӧ дасьтӧм могмӧдӧм (“Кировса медицинскӧй канму академия” Россия Федерацияса йӧзлысь дзоньвидзалун видзан министерстволӧн вылыс тшупӧда уджсикасӧ велӧдан канму сьӧмкуд учреждениелӧн Коми филиал подув вылын, “Сыктывкарса канму университет” вылыс тшупӧда уджсикасӧ велӧдан канму сьӧмкуд учреждение подув вылын, Россия Федерацияса мукӧд субъектын вылыс тшупӧдӧ велӧдан заведениеяслӧн подув вылын, Сыктывкар, Ухта, Воркута каръясын меститчӧм шӧр тшупӧда уджсикасӧ велӧдан асшӧрлуна канму велӧдан учреждениеяс подув вылын)</t>
    </r>
  </si>
  <si>
    <t>0901
0902
0904
0909</t>
  </si>
  <si>
    <t>01.6.0201</t>
  </si>
  <si>
    <t>Шӧр мероприятие 6.0202.</t>
  </si>
  <si>
    <r>
      <t>В</t>
    </r>
    <r>
      <rPr>
        <sz val="14"/>
        <color indexed="18"/>
        <rFont val="Times New Roman"/>
        <family val="1"/>
      </rPr>
      <t>ылыс тшупӧда велӧдан организацияясын студентъясӧс торъя мог серти велӧдӧм кузя сёрнитчӧмъяс кырымалӧм котыртӧм</t>
    </r>
  </si>
  <si>
    <t>Шӧр мероприятие 6.0203.</t>
  </si>
  <si>
    <r>
      <t>У</t>
    </r>
    <r>
      <rPr>
        <sz val="14"/>
        <color indexed="18"/>
        <rFont val="Times New Roman"/>
        <family val="1"/>
      </rPr>
      <t>джсикасӧ велӧдан организацияяслӧн студентъясӧс торъя мог серти велӧдӧм кузя сёрнитчӧмъяс кырымалӧм котыртӧм</t>
    </r>
  </si>
  <si>
    <t>Шӧр мероприятие 6.0204.</t>
  </si>
  <si>
    <r>
      <t>О</t>
    </r>
    <r>
      <rPr>
        <sz val="14"/>
        <color indexed="18"/>
        <rFont val="Times New Roman"/>
        <family val="1"/>
      </rPr>
      <t>бщеобразовательнӧй организацияясса велӧдчысьяскӧд профориентационнӧй удж котыртӧм да нуӧдӧм</t>
    </r>
  </si>
  <si>
    <t>Шӧр мероприятие 6.0205.</t>
  </si>
  <si>
    <t>Коми Республикаса медицинаӧ велӧдан организацияясын общеобразовательнӧй организацияясса велӧдчысьяслы «Восьса ӧдзӧс лунъяс» котыртӧм да нуӧдӧм</t>
  </si>
  <si>
    <t>Шӧр мероприятие 6.0206.</t>
  </si>
  <si>
    <t>Вылыс тшупӧда уджсикасӧ велӧдчӧм уджалысьяслы компенсацияӧн ӧтчыдысь мынтан сьӧм сетӧм (“Россия Федерацияын медицинскӧя быть страхуйтӧм йылысь” 2010 во вӧльгым тӧлысь 29 лунся 326-ФЗ №-а Федеральнӧй оланпаслӧн 51 статьяса 12.1-12.2 юкӧнъяс серти)</t>
  </si>
  <si>
    <t>1003</t>
  </si>
  <si>
    <t>01.6.0206</t>
  </si>
  <si>
    <t>323
321</t>
  </si>
  <si>
    <t>Шӧр мероприятие 6.0207.</t>
  </si>
  <si>
    <r>
      <t>Ш</t>
    </r>
    <r>
      <rPr>
        <sz val="16"/>
        <color indexed="18"/>
        <rFont val="Times New Roman"/>
        <family val="1"/>
      </rPr>
      <t>ӧр тшупӧда медицинаӧ велӧдчӧм торъя медицинаын уджалысьяслы ӧтчыдысь мынтан сьӧм сетӧм (“Вылыс тшупӧда уджсикасӧ велӧдчӧм да шӧр тшупӧда уджсикасӧ велӧдчӧм медицинаын уджалысьяслӧн торъя категорияяслы, кодъяс уджалӧны сиктса олан пунктъясын, ӧтчыдысь мынтан сьӧм сетӧм йылысь” Коми Республикаса Веськӧдлан котырлӧн 2012 во урасьӧм тӧлысь 14 лунся 45 №-а шуӧм серти)</t>
    </r>
  </si>
  <si>
    <t>01.6.0207</t>
  </si>
  <si>
    <t>Шӧр мероприятие 6.0208.</t>
  </si>
  <si>
    <r>
      <t>К</t>
    </r>
    <r>
      <rPr>
        <sz val="14"/>
        <color indexed="18"/>
        <rFont val="Times New Roman"/>
        <family val="1"/>
      </rPr>
      <t xml:space="preserve">адръяс кутӧмын юалӧмъяс кузя меставывса асвеськӧдлан органъяскӧд ӧтувъя удж паськӧдӧм
</t>
    </r>
    <r>
      <rPr>
        <sz val="16"/>
        <rFont val="Times New Roman"/>
        <family val="1"/>
      </rPr>
      <t xml:space="preserve">
</t>
    </r>
  </si>
  <si>
    <t>Шӧр мероприятие 6.0301.</t>
  </si>
  <si>
    <r>
      <t>И</t>
    </r>
    <r>
      <rPr>
        <sz val="14"/>
        <color indexed="18"/>
        <rFont val="Times New Roman"/>
        <family val="1"/>
      </rPr>
      <t>нтернъяс пӧвстын уджсям кузя конкурсъяс нуӧдӧм</t>
    </r>
  </si>
  <si>
    <t>Шӧр мероприятие 6.0302.</t>
  </si>
  <si>
    <r>
      <t>В</t>
    </r>
    <r>
      <rPr>
        <sz val="16"/>
        <color indexed="18"/>
        <rFont val="Times New Roman"/>
        <family val="1"/>
      </rPr>
      <t xml:space="preserve">ылыс тшупӧда да шӧр тшупӧда медицинскӧй да фармацевтическӧй велӧдӧм специалистъяс пӧвстын уджсям кузя конкурсъяс котыртӧм
</t>
    </r>
  </si>
  <si>
    <t>Шӧр мероприятие 6.0303.</t>
  </si>
  <si>
    <t xml:space="preserve">“Коми Республикаса Веськӧдлан котырлӧн премияяс йылысь” Коми Республикаса Веськӧдлан котырлӧн 2007 во вӧльгым тӧлысь 26 лунся 277 №-а шуӧм збыльмӧдӧм
</t>
  </si>
  <si>
    <t>01.6.4001</t>
  </si>
  <si>
    <t>Шӧр мероприятие 6.0304.</t>
  </si>
  <si>
    <r>
      <t>М</t>
    </r>
    <r>
      <rPr>
        <sz val="14"/>
        <color indexed="8"/>
        <rFont val="Times New Roman"/>
        <family val="1"/>
      </rPr>
      <t>едицинаын уджалысьлӧн лунлы сиӧм кыпыд мероприятиеяс котыртӧм да нуӧдӧм</t>
    </r>
  </si>
  <si>
    <t>01.6.0304</t>
  </si>
  <si>
    <t>Шӧр мероприятие 6.0305.</t>
  </si>
  <si>
    <r>
      <t>Д</t>
    </r>
    <r>
      <rPr>
        <sz val="16"/>
        <color indexed="8"/>
        <rFont val="Times New Roman"/>
        <family val="1"/>
      </rPr>
      <t>зоньвидзалун</t>
    </r>
    <r>
      <rPr>
        <sz val="16"/>
        <color indexed="18"/>
        <rFont val="Times New Roman"/>
        <family val="1"/>
      </rPr>
      <t xml:space="preserve"> видзан учреждениеясса юрнуӧдысьясӧс, медицинаын уджалысьясӧс налысь уджсикаснысӧ тӧдӧм донъялӧм могысь аттестуйтӧм
</t>
    </r>
    <r>
      <rPr>
        <sz val="14"/>
        <rFont val="Times New Roman"/>
        <family val="1"/>
      </rPr>
      <t xml:space="preserve">
</t>
    </r>
  </si>
  <si>
    <t>Шӧр мероприятие 6.0401.</t>
  </si>
  <si>
    <r>
      <t>М</t>
    </r>
    <r>
      <rPr>
        <sz val="16"/>
        <color indexed="18"/>
        <rFont val="Times New Roman"/>
        <family val="1"/>
      </rPr>
      <t xml:space="preserve">едицинаын уджалысьяслысь удждоннысӧ тшупӧдъясӧн кыпӧдӧм (Коми Республикаса Веськӧдлан котырлӧн 2013 во тӧвшӧр тӧлысь 24 лунся 12-р №-а тшӧктӧм серти)
</t>
    </r>
    <r>
      <rPr>
        <sz val="14"/>
        <rFont val="Times New Roman"/>
        <family val="1"/>
      </rPr>
      <t xml:space="preserve">
</t>
    </r>
  </si>
  <si>
    <t>Шӧр мероприятие 6.0402.</t>
  </si>
  <si>
    <r>
      <t>М</t>
    </r>
    <r>
      <rPr>
        <sz val="16"/>
        <color indexed="18"/>
        <rFont val="Times New Roman"/>
        <family val="1"/>
      </rPr>
      <t>едицина организацияяслӧн административнӧй да веськӧдлан персонал вылӧ рӧскод бӧрся дӧзьӧр котыртӧм (сы лыдын уджсикас котыръяс боксянь)</t>
    </r>
  </si>
  <si>
    <t>Шӧр мероприятие 6.0403.</t>
  </si>
  <si>
    <t>Коми Республика мутасын дзоньвидзалун видзан учреждениеясса уджалысьяслӧн уджын окталунлысь торъя мога лыдпасъяс лӧсьӧдӧм</t>
  </si>
  <si>
    <t>Шӧр мероприятие 6.0404.</t>
  </si>
  <si>
    <r>
      <t>М</t>
    </r>
    <r>
      <rPr>
        <sz val="14"/>
        <color indexed="18"/>
        <rFont val="Times New Roman"/>
        <family val="1"/>
      </rPr>
      <t xml:space="preserve">едицинаын уджалысьяскӧд бур контрактъяслысь модель лӧсьӧдӧм, медицинаын уджалысьясӧс “бур контракт” вылӧ сьӧрсьӧн-бӧрсьӧн вуджӧдӧм
</t>
    </r>
  </si>
  <si>
    <t>Шӧр мероприятие 6.0501.</t>
  </si>
  <si>
    <r>
      <t>М</t>
    </r>
    <r>
      <rPr>
        <sz val="14"/>
        <color indexed="18"/>
        <rFont val="Times New Roman"/>
        <family val="1"/>
      </rPr>
      <t xml:space="preserve">едицинскӧй да фармацевтическӧй, сы лыдын веськӧдлысьяс лыдысь, уджалысьясӧс квалификация кыпӧдан да уджсикасын тӧдӧмлунъяс кыпӧдан курсъяс вылӧ ыстӧм котыртӧм
</t>
    </r>
  </si>
  <si>
    <t>Шӧр мероприятие 6.0502.</t>
  </si>
  <si>
    <t xml:space="preserve">Учреждениеясса юрнуӧдысьясӧс резервӧ пыртӧм, найӧс велӧдӧм
</t>
  </si>
  <si>
    <t>7 уджтасув</t>
  </si>
  <si>
    <t>Лекарствоясӧн могмӧдан система, сы лыдын амбулаторнӧя, бурмӧдӧм</t>
  </si>
  <si>
    <t>Шӧр мероприятие 7.0101.</t>
  </si>
  <si>
    <r>
      <t>К</t>
    </r>
    <r>
      <rPr>
        <sz val="16"/>
        <color indexed="18"/>
        <rFont val="Times New Roman"/>
        <family val="1"/>
      </rPr>
      <t>окньӧд босьтысь гражданаӧс лекарствоясӧн могмӧдӧм кузя мониторинг нуӧдӧм бурмӧдӧм вылӧ уджтас прӧдукт лӧсьӧдӧм да пыртӧм</t>
    </r>
  </si>
  <si>
    <t>Шӧр мероприятие 7.0102.</t>
  </si>
  <si>
    <t>Коми Республикаса аптекаяс везйын лекарствояс юклӧм да выльысь юклӧм кузя уполномочитӧм фарморганизациякӧд ӧтувъя логистическӧй удж водзмӧстчӧдӧм</t>
  </si>
  <si>
    <t>Шӧр мероприятие 7.0103.</t>
  </si>
  <si>
    <t>“Медицина промышленносьт сӧвмӧдӧмын канму отсӧг сетӧм йылысь да йӧзӧс да дзоньвидзалун видзан учреждениеяс лекарство средствоясӧн да медицина кӧлуйӧн могмӧдӧм бурмӧдӧм йылысь” Россия Федерацияса Веськӧдлан котырлӧн 1994 во сора тӧлысь 30 лунся 890 №-а шуӧм збыльмӧдігӧн Коми Республикаса йӧзӧс лекарствоясӧн кокньӧд серти могмӧдӧм збыльмӧдӧм кузя рӧскод нуӧм</t>
  </si>
  <si>
    <t>01.7.0103</t>
  </si>
  <si>
    <t>Шӧр мероприятие 7.0104.</t>
  </si>
  <si>
    <r>
      <t>Л</t>
    </r>
    <r>
      <rPr>
        <sz val="16"/>
        <color indexed="18"/>
        <rFont val="Times New Roman"/>
        <family val="1"/>
      </rPr>
      <t>екарство препаратъясӧн, медицина кӧлуйӧн, а сідзжӧ вермытӧм челядьлы специализируйтӧм бурдӧдан сёянӧн могмӧдӧм кузя гражданалӧн торъя категорияяслы канмусянь социальнӧй отсӧг сетӧм (“Канмусянь социальнӧй отсӧг сетӧм йылысь” 1999 во сора тӧлысь 17 лунся 178-ФЗ №-а Федеральнӧй оланпас серти)</t>
    </r>
  </si>
  <si>
    <t>01.7.5161</t>
  </si>
  <si>
    <t>Шӧр мероприятие 7.0105.</t>
  </si>
  <si>
    <t>Йӧзӧс, кодъяс висьӧны гемофилияӧн, муковисцидозӧн, гипофизарнӧй нанизмӧн, Гоше висьӧмӧн, лимфоиднӧй, кроветворнӧй да на кодь тканьяслӧн  лёк пыкӧсъясӧн,  рассеяннӧй склерозӧн, органъяс да (либӧ) тканьяс вежӧм бӧрын, лекарство препаратъясӧн могмӧдӧм котыртӧм</t>
  </si>
  <si>
    <t>01.7.5113</t>
  </si>
  <si>
    <t>Шӧр мероприятие 7.0106.</t>
  </si>
  <si>
    <r>
      <t>Й</t>
    </r>
    <r>
      <rPr>
        <sz val="14"/>
        <color indexed="18"/>
        <rFont val="Times New Roman"/>
        <family val="1"/>
      </rPr>
      <t>ӧзӧс, кодъяс висьӧны мортлӧн иммунодефицит да В да С гепатит вирусъясӧн, висьӧмъясысь видзӧм да бурдӧдӧм вылӧ антивируснӧй препаратъяс ньӧбӧм сьӧмӧн могмӧдӧм (“Йӧзӧс, кодъяс висьӧны мортлӧн иммунодефицит да В да С гепатит вирусъясӧн, висьӧмъясысь видзӧм, тӧдмалӧм да бурдӧдӧм вылӧ диагностируйтан средствояс да антивируснӧй препаратъяс ньӧбӧм сьӧмӧн могмӧдӧм йылысь” Россия Федерациялӧн Веськӧдлан котырса 2012 вося ӧшым тӧлысь 27 лунся 1438 №-а шуӧм серти)</t>
    </r>
  </si>
  <si>
    <t>01.7.5072</t>
  </si>
  <si>
    <t>Шӧр мероприятие 7.0107.</t>
  </si>
  <si>
    <r>
      <t>Л</t>
    </r>
    <r>
      <rPr>
        <sz val="14"/>
        <color indexed="18"/>
        <rFont val="Times New Roman"/>
        <family val="1"/>
      </rPr>
      <t>екарство средствояс примитӧм, видзӧм да вайӧм котыртӧмсӧ бурмӧдӧм</t>
    </r>
  </si>
  <si>
    <t xml:space="preserve">01.7.0107
</t>
  </si>
  <si>
    <t>244
612</t>
  </si>
  <si>
    <t>01.7.5133</t>
  </si>
  <si>
    <t>Шӧр мероприятие 7.0201.</t>
  </si>
  <si>
    <r>
      <t>Л</t>
    </r>
    <r>
      <rPr>
        <sz val="14"/>
        <color indexed="18"/>
        <rFont val="Times New Roman"/>
        <family val="1"/>
      </rPr>
      <t>екарство средствояслӧн качество да найӧс сертифицируйтӧм бӧрся видзӧдӧмсӧ бурмӧдӧм</t>
    </r>
  </si>
  <si>
    <t>Шӧр мероприятие 7.0202.</t>
  </si>
  <si>
    <r>
      <t>В</t>
    </r>
    <r>
      <rPr>
        <sz val="16"/>
        <color indexed="18"/>
        <rFont val="Times New Roman"/>
        <family val="1"/>
      </rPr>
      <t>исьысьясӧс нуӧдӧмын ӧнія клиническӧй вӧзйӧмъяс (сёрнигижӧдъяс) пыртӧм</t>
    </r>
  </si>
  <si>
    <t>Шӧр мероприятие 7.0203.</t>
  </si>
  <si>
    <r>
      <t>Э</t>
    </r>
    <r>
      <rPr>
        <sz val="16"/>
        <color indexed="18"/>
        <rFont val="Times New Roman"/>
        <family val="1"/>
      </rPr>
      <t>скӧдан медициналӧн юрподувъяс улын медицина серти вӧдитчӧм вылӧ лекарствояс тӧлкӧн видзӧм йылысь юӧр тӧдӧм медицинаса уджалысьяслысь кыпӧдӧм</t>
    </r>
  </si>
  <si>
    <t>Шӧр мероприятие 7.0204.</t>
  </si>
  <si>
    <r>
      <t>А</t>
    </r>
    <r>
      <rPr>
        <sz val="16"/>
        <color indexed="18"/>
        <rFont val="Times New Roman"/>
        <family val="1"/>
      </rPr>
      <t xml:space="preserve">нтибактериальнӧй да противотуберкулёзнӧй лекарствояс (мӧд радсӧ), кутшӧмъясӧн вӧдитчӧны туберкулёзӧн висьысьясӧс бурдӧдігӧн, кодъяслӧн висьӧмсӧ кыпӧдысьыс зумыд уна сикас лекарство дорӧ, да туберкулёз микобактериялысь кылӧмсӧ тӧдмалӧм вылӧ да туберкулёзӧн висьысьясӧс, кодъяслӧн висьӧмсӧ кыпӧдысьыс зумыд уна сикас лекарство дорӧ, бурдӧдӧмын мониторинг нуӧдӧм вылӧ диагностируйтан средствояс ньӧбӧм
</t>
    </r>
  </si>
  <si>
    <t>01.7.5174</t>
  </si>
  <si>
    <t>Шӧр мероприятие 7.0301.</t>
  </si>
  <si>
    <t>Медицина организацияяслӧн торъя подразделениеяслысь (амбулаторияяслысь, фельдшер да фельдшер-акушер пунктъяслысь, ӧтувъя врачебнӧй (семейнӧй) практикаа шӧринъяслысь), кутшӧмъяс сулалӧны сиктса овмӧдчӧминъясын, кӧні абуӧсь аптека организацияяс, материально-техническӧй подувсӧ бурмӧдӧм, медицина серти вӧдитчӧм вылӧ лекарствоясӧн торйӧн вузасьӧм котыртӧм вылӧ колана тшупӧдӧдз</t>
  </si>
  <si>
    <t>Шӧр мероприятие 7.0302.</t>
  </si>
  <si>
    <r>
      <t>Л</t>
    </r>
    <r>
      <rPr>
        <sz val="16"/>
        <color indexed="18"/>
        <rFont val="Times New Roman"/>
        <family val="1"/>
      </rPr>
      <t>екарство препарат лыддьӧг ыдждӧдӧм, кутшӧмъясӧс позьӧ вузавны сӧмын медицина организацияяслӧн, кодъяслӧн эм фармацевтическӧй удж вылӧ лицензия да найӧ сулалӧны сиктса овмӧдчӧминъясын, кӧні абуӧсь аптека организацияяс</t>
    </r>
  </si>
  <si>
    <t>8 уджтасув</t>
  </si>
  <si>
    <t>Канму уджтас збыльмӧдӧм могмӧдӧм</t>
  </si>
  <si>
    <t>Шӧр мероприятие 8.0101.</t>
  </si>
  <si>
    <t>Коми Республикаса канму власьт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 (шӧр аппарат)</t>
  </si>
  <si>
    <t>01.8.8204</t>
  </si>
  <si>
    <r>
      <t xml:space="preserve">121
122
</t>
    </r>
    <r>
      <rPr>
        <sz val="14"/>
        <color indexed="10"/>
        <rFont val="Times New Roman"/>
        <family val="1"/>
      </rPr>
      <t xml:space="preserve">242
</t>
    </r>
    <r>
      <rPr>
        <sz val="14"/>
        <rFont val="Times New Roman"/>
        <family val="1"/>
      </rPr>
      <t>244</t>
    </r>
  </si>
  <si>
    <t>Шӧр мероприятие 8.0102.</t>
  </si>
  <si>
    <r>
      <t>М</t>
    </r>
    <r>
      <rPr>
        <sz val="16"/>
        <color indexed="8"/>
        <rFont val="Times New Roman"/>
        <family val="1"/>
      </rPr>
      <t>едицина оборудование да санитарнӧй автотранспорт ӧтувтӧмӧн ньӧбӧм</t>
    </r>
  </si>
  <si>
    <t>01.8.0102</t>
  </si>
  <si>
    <t>Шӧр мероприятие 8.0103.</t>
  </si>
  <si>
    <r>
      <t>Г</t>
    </r>
    <r>
      <rPr>
        <sz val="16"/>
        <color indexed="18"/>
        <rFont val="Times New Roman"/>
        <family val="1"/>
      </rPr>
      <t>ражданалысь дзоньвидзалун видзан юкӧнын Россия Федерациялысь уджмогъяс збыльмӧдӧм</t>
    </r>
  </si>
  <si>
    <t>01.8.59Б0</t>
  </si>
  <si>
    <t>121
122
242
244</t>
  </si>
  <si>
    <t>Шӧр мероприятие 8.0104.</t>
  </si>
  <si>
    <r>
      <t>Й</t>
    </r>
    <r>
      <rPr>
        <sz val="16"/>
        <color indexed="18"/>
        <rFont val="Times New Roman"/>
        <family val="1"/>
      </rPr>
      <t>ӧзлысь дзоньвидзалун видзан канму учреждениеясӧн, кутшӧмъяс могмӧдӧны йӧзлысь дзоньвидзалун видзан юкӧнын услугаяс сетӧм, канму услугаяс сетӧм (уджъяс вӧчӧм)</t>
    </r>
  </si>
  <si>
    <t>01.8.0104</t>
  </si>
  <si>
    <t>Шӧр мероприятие 8.0105.</t>
  </si>
  <si>
    <r>
      <t>В</t>
    </r>
    <r>
      <rPr>
        <sz val="16"/>
        <color indexed="18"/>
        <rFont val="Times New Roman"/>
        <family val="1"/>
      </rPr>
      <t>едомствоувса казённӧй учреждениеяслысь уджсӧ могмӧдӧм</t>
    </r>
  </si>
  <si>
    <t>01.8.0105</t>
  </si>
  <si>
    <t>Шӧр мероприятие 8.0106.</t>
  </si>
  <si>
    <t>Уджтас збыльмӧдӧмын да сыӧн веськӧдлӧмын юалӧмъяс кузя ведомствояс костын уджсӧ бурмӧдӧм</t>
  </si>
  <si>
    <t>Шӧр мероприятие 8.0107.</t>
  </si>
  <si>
    <t>“Йӧзлысь дзоньвидзалун видзӧм сӧвмӧдӧм” Россия Федерацияса канму уджтаслысь торъя мероприятиеяс збыльмӧдӧм</t>
  </si>
  <si>
    <t>01.8.5382</t>
  </si>
  <si>
    <t>Шӧр мероприятие 8.0201.</t>
  </si>
  <si>
    <r>
      <t>У</t>
    </r>
    <r>
      <rPr>
        <sz val="16"/>
        <color indexed="18"/>
        <rFont val="Times New Roman"/>
        <family val="1"/>
      </rPr>
      <t>джтӧм йӧзӧс медицинскӧя быть страхуйтӧм вылӧ медицинскӧя быть страхуйтан Федеральнӧй фондлӧн сьӧмкудлы мукӧд сьӧмкудкостса трансферт</t>
    </r>
  </si>
  <si>
    <t>01.8.7601</t>
  </si>
  <si>
    <t>Шӧр мероприятие 8.0202.</t>
  </si>
  <si>
    <r>
      <t>М</t>
    </r>
    <r>
      <rPr>
        <sz val="16"/>
        <color indexed="18"/>
        <rFont val="Times New Roman"/>
        <family val="1"/>
      </rPr>
      <t>едицинскӧя быть страхуйтан подув уджтас пытшкын медицинскӧя быть страхуйтан мутасса уджтас збыльмӧдӧм вылӧ медицинскӧя быть страхуйтан Коми Республика мутасса фондлӧн сьӧмкудлы мукӧд сьӧмкудкостса трансферт</t>
    </r>
  </si>
  <si>
    <t>01.8.7801</t>
  </si>
  <si>
    <t>9 уджтасув</t>
  </si>
  <si>
    <t>Йӧзлысь дзоньвидзалун видзӧмын канмуа-аспом уджъёртасьӧм сӧвмӧдӧм</t>
  </si>
  <si>
    <t>Шӧр мероприятие 9.0101.</t>
  </si>
  <si>
    <t>Россия Федерацияса мукӧд субъектлӧн йӧзлысь дзоньвидзалун видзӧмын канмуа-аспом уджъёртасян проектъяс збыльмӧдӧмын опыт туялӧм</t>
  </si>
  <si>
    <t>Шӧр мероприятие 9.0102.</t>
  </si>
  <si>
    <t>Коми Республика мутасын Россия Федерацияса гражданалы дон босьттӧг медицина отсӧг сетан канму гарантияясӧн уджтас збыльмӧдӧмӧ аспом медицина организацияяс кыскан выль механизмъяс пыртӧм</t>
  </si>
  <si>
    <t>Шӧр мероприятие 9.0103.</t>
  </si>
  <si>
    <r>
      <t>Й</t>
    </r>
    <r>
      <rPr>
        <sz val="16"/>
        <color indexed="18"/>
        <rFont val="Times New Roman"/>
        <family val="1"/>
      </rPr>
      <t>ӧзлысь дзоньвидзалун видзӧмын канмуа-аспом уджъёртасян балаяс йылысь юӧр «Ӧтуввез» юӧртан да телекоммуникационнӧй везйӧ пыртӧм</t>
    </r>
  </si>
  <si>
    <t>Шӧр мероприятие 9.0201.</t>
  </si>
  <si>
    <t xml:space="preserve">Сыктывкарын амбулаторнӧй диализ шӧрин котыртӧм кузя канмуа-аспом уджъёртасян проектын уджъёртӧс бӧрйӧм серти конкурснӧй да мукӧд процедура нуӧдӧм
</t>
  </si>
  <si>
    <t>Шӧр мероприятие 9.0202.</t>
  </si>
  <si>
    <t>Сыктывкарын амбулаторнӧй диализ шӧрин котыртӧм кузя канмуа-аспом уджъёртасян проект олӧмӧ пӧртӧм бӧрся обязательствояс збыльмӧдан мониторинг да контроль нуӧдӧм</t>
  </si>
  <si>
    <t>10 уджтасув</t>
  </si>
  <si>
    <t>Йӧзлысь дзоньвидзалун видзӧмын информатизация сӧвмӧдӧм</t>
  </si>
  <si>
    <t>Шӧр мероприятие 10.0101.</t>
  </si>
  <si>
    <t xml:space="preserve">Юӧр видзан юкӧнын оланпастэчаслӧн корӧмъяс урчитӧмӧн медицина организацияяслысь компьютернӧй да телекоммуникационнӧй инфраструктурасӧ сӧвмӧдӧм
</t>
  </si>
  <si>
    <t>Коми Республикаса информатизация да связь комитет</t>
  </si>
  <si>
    <t>Шӧр мероприятие 10.0102.</t>
  </si>
  <si>
    <r>
      <t xml:space="preserve">Йӧзлысь </t>
    </r>
    <r>
      <rPr>
        <sz val="16"/>
        <color indexed="18"/>
        <rFont val="Times New Roman"/>
        <family val="1"/>
      </rPr>
      <t xml:space="preserve">дзоньвидзалун видзан юкӧнын ӧтувъя канму юӧр системалӧн дінму подсистема улӧ выль медицина организацияяс пыртӧм
</t>
    </r>
  </si>
  <si>
    <t>Шӧр мероприятие 10.0103.</t>
  </si>
  <si>
    <r>
      <t>В</t>
    </r>
    <r>
      <rPr>
        <sz val="16"/>
        <color indexed="18"/>
        <rFont val="Times New Roman"/>
        <family val="1"/>
      </rPr>
      <t>ыль медицина организацияяс юӧр ресурсъяс дорӧ йитӧм, кутшӧмъяс могмӧдӧны пациенткӧд ӧтувъя уджсӧ</t>
    </r>
  </si>
  <si>
    <t>Шӧр мероприятие 10.0104.</t>
  </si>
  <si>
    <r>
      <t xml:space="preserve">Йӧзлысь </t>
    </r>
    <r>
      <rPr>
        <sz val="16"/>
        <color indexed="18"/>
        <rFont val="Times New Roman"/>
        <family val="1"/>
      </rPr>
      <t xml:space="preserve">дзоньвидзалун видзан юкӧнын ӧтувъя канму юӧр системаса дінму подсистемалӧн содтӧд юкӧнъяслы уджавны вермӧмсӧ да коставлытӧм уджсӧ могмӧдӧм
</t>
    </r>
    <r>
      <rPr>
        <sz val="14"/>
        <rFont val="Times New Roman"/>
        <family val="1"/>
      </rPr>
      <t xml:space="preserve">
</t>
    </r>
  </si>
  <si>
    <t>Шӧр мероприятие 10.0105.</t>
  </si>
  <si>
    <r>
      <t>Д</t>
    </r>
    <r>
      <rPr>
        <sz val="16"/>
        <color indexed="18"/>
        <rFont val="Times New Roman"/>
        <family val="1"/>
      </rPr>
      <t xml:space="preserve">зоньвидзалун видзан учреждениеяслӧн уджӧ ӧнія юӧр технологияяс пыртӧм
</t>
    </r>
  </si>
  <si>
    <t>Шӧр мероприятие 10.0201.</t>
  </si>
  <si>
    <t xml:space="preserve">Ыджыд риска пациент чукӧръяслы дзоньвидзалун видзан медводдза юкӧн тшупӧдын ылісянь скрининг котыртӧм, мый арталӧ телемедициналысь ӧнія юӧртан да телекоммуникационнӧй технологияяс пыртӧм
</t>
  </si>
  <si>
    <t>Шӧр мероприятие 10.0202.</t>
  </si>
  <si>
    <r>
      <t>Ы</t>
    </r>
    <r>
      <rPr>
        <sz val="16"/>
        <color indexed="18"/>
        <rFont val="Times New Roman"/>
        <family val="1"/>
      </rPr>
      <t xml:space="preserve">лысса сикт мутасъясын телемедицина вез сӧвмӧдӧм
</t>
    </r>
  </si>
  <si>
    <t>Шӧр мероприятие 10.0301.</t>
  </si>
  <si>
    <r>
      <t>В</t>
    </r>
    <r>
      <rPr>
        <sz val="16"/>
        <color indexed="18"/>
        <rFont val="Times New Roman"/>
        <family val="1"/>
      </rPr>
      <t xml:space="preserve">ыль медицина организацияяс юӧр ресурсъяс дорӧ йитӧм
</t>
    </r>
  </si>
  <si>
    <t>Шӧр мероприятие 10.0302.</t>
  </si>
  <si>
    <r>
      <t>М</t>
    </r>
    <r>
      <rPr>
        <sz val="16"/>
        <color indexed="18"/>
        <rFont val="Times New Roman"/>
        <family val="1"/>
      </rPr>
      <t xml:space="preserve">едицинаын уджалысьяслы да гражданалы дзоньвидзалун видзан юалӧмъяс кузя специализируйтӧм юӧр ресурсъяс лӧсьӧдӧм
</t>
    </r>
  </si>
  <si>
    <t>11 уджтасув</t>
  </si>
  <si>
    <t>Коми Республикаса йӧзлысь дзоньвидзалун видзӧм мутасын планируйтӧм бурмӧдӧм</t>
  </si>
  <si>
    <t>Шӧр мероприятие 11.0101.</t>
  </si>
  <si>
    <t>“Печора районса шӧр больнича” Коми Республикаса дзоньвидзалун видзан канму сьӧмкуд учреждение подув вылын мутаскостса консультируйтан да диагностируйтан шӧринлысь уджсӧ котыртӧм</t>
  </si>
  <si>
    <t>Шӧр мероприятие 11.0102.</t>
  </si>
  <si>
    <t>“Сосногорск районса шӧр  больнича” Коми Республикаса дзоньвидзалун видзан канму сьӧмкуд учреждение подув вылын паллиативнӧй отсӧг сетӧм вылӧ мутаскостса шӧринлысь уджсӧ котыртӧм</t>
  </si>
  <si>
    <t>Шӧр мероприятие 11.0201.</t>
  </si>
  <si>
    <r>
      <t>Д</t>
    </r>
    <r>
      <rPr>
        <sz val="16"/>
        <color indexed="18"/>
        <rFont val="Times New Roman"/>
        <family val="1"/>
      </rPr>
      <t xml:space="preserve">зоньвидзалун видзан ичӧт вына учреждениеяс дзоньвидзалун видзан ыджыдджык вына учреждениеяскӧд (уджмогъяс серти матыссаяскӧд) ӧтлаӧдӧм
</t>
    </r>
  </si>
  <si>
    <t>Шӧр мероприятие 11.0202.</t>
  </si>
  <si>
    <r>
      <t>У</t>
    </r>
    <r>
      <rPr>
        <sz val="16"/>
        <color indexed="18"/>
        <rFont val="Times New Roman"/>
        <family val="1"/>
      </rPr>
      <t>частокса больничаяс, кутшӧмъяс сулалӧны олысьяслӧн пыр чинысь лыда олан пунктъясын, врачебнӧй амбулаторияясӧ (сестринскӧй тӧралан койкаяс котыртӧмӧн) либӧ фельдшер-акушер пунктъясӧ вуджӧдӧм</t>
    </r>
  </si>
  <si>
    <t>Шӧр мероприятие 11.0203.</t>
  </si>
  <si>
    <r>
      <t>О</t>
    </r>
    <r>
      <rPr>
        <sz val="16"/>
        <color indexed="18"/>
        <rFont val="Times New Roman"/>
        <family val="1"/>
      </rPr>
      <t>лан пунктъясысь, кӧні вывті этша олысь лыдыс (30 мортысь этшаджык), фельдшер-акушер пунктъяс бырӧдӧм медицина боксянь могмӧдӧм вылӧ олысьясӧс дзоньвидзалун видзан матысса учреждение бердӧ крепитӧмӧн</t>
    </r>
  </si>
  <si>
    <t>Шӧр мероприятие 11.0204.</t>
  </si>
  <si>
    <t xml:space="preserve">300 мортысь этшаджык лыда фельдшер-акушер пунктъяссӧ фельдшер здравпунктъясӧ вуджӧдӧм
</t>
  </si>
  <si>
    <t xml:space="preserve">7 таблица </t>
  </si>
  <si>
    <t>Коми Республикаса канму уджтаслысь шӧр могъяс олӧмӧ пӧртӧм вылӧ  Коми Республикаса республиканскӧй сьӧмкудйысь (федеральнӧй сьӧмкуд тӧд вылӧ босьтӧмӧн), Коми Республикаса канму сьӧмкудйӧ пырттӧм канму фондъяслӧн сьӧмкудъясысь, меставывса сьӧмкудъясысь да юридическӧй кывкутысьяслысь рӧскод сьӧмӧн могмӧдӧм да  виччысяна (справочнӧй) донъялӧм</t>
  </si>
  <si>
    <t>Канму уджтаслӧн, канму уджтасса уджтасувлӧн, дыркадся республиканскӧй торъя мога уджтаслӧн (дыркадся республиканскӧй торъя мога уджтасса уджтасувлӧн), ведомствоса торъя мога уджтаслӧн, шӧр мероприятиелӧн ним</t>
  </si>
  <si>
    <t>Сьӧмӧн могмӧдан источник</t>
  </si>
  <si>
    <t>Рӧскод донъялӧм (сюрс шайт), вояс</t>
  </si>
  <si>
    <t xml:space="preserve">2013во (справочно) </t>
  </si>
  <si>
    <t xml:space="preserve">2014 год (ӧчереднӧй во) </t>
  </si>
  <si>
    <t>2015 год (планӧвӧй кадколастлӧн медводдза во)</t>
  </si>
  <si>
    <t>Коми Республикаса канму уджтас</t>
  </si>
  <si>
    <t>ставнас</t>
  </si>
  <si>
    <t>Коми Республикаса республиканскӧй сьӧмкуд</t>
  </si>
  <si>
    <t>на пиысь федеральнöй сьöмкуд тшöт весьтö</t>
  </si>
  <si>
    <t>меставывса сьӧмкудъяс</t>
  </si>
  <si>
    <t>сьӧмкудйӧ пырттӧм канму фондъяс</t>
  </si>
  <si>
    <t>юридическöй кывкутысьяс</t>
  </si>
  <si>
    <t>чöжöс вайысь уджысь сьöм</t>
  </si>
  <si>
    <t>Висьӧмъясысь ӧлӧдӧм да бур дзоньвидза оласног лӧсьӧдӧм. Медводдза медико-санитарнӧй отсӧг сетӧм сӧвмӧдӧм</t>
  </si>
  <si>
    <r>
      <t xml:space="preserve">Коми Республикаын челядьӧс лёкӧ велалӧмысь видзан мераяс, челядь да ныв-зонпосни пӧвстын дзоньвидза оласног подув лӧсьӧдӧм
</t>
    </r>
    <r>
      <rPr>
        <sz val="14"/>
        <color indexed="8"/>
        <rFont val="Times New Roman"/>
        <family val="1"/>
      </rPr>
      <t xml:space="preserve">
</t>
    </r>
  </si>
  <si>
    <r>
      <t>У</t>
    </r>
    <r>
      <rPr>
        <sz val="14"/>
        <color indexed="18"/>
        <rFont val="Times New Roman"/>
        <family val="1"/>
      </rPr>
      <t>часткӧвӧй служба, ӧтувъя (семейнӧй) практикаа врачлысь институт, домӧвӧй овмӧсъяс сӧвмӧдӧм</t>
    </r>
  </si>
  <si>
    <r>
      <t>Й</t>
    </r>
    <r>
      <rPr>
        <sz val="14"/>
        <color indexed="18"/>
        <rFont val="Times New Roman"/>
        <family val="1"/>
      </rPr>
      <t>ӧзлы медицина отсӧг сетӧм вылӧ условиеяс лӧсьӧдӧм (Россия Федерацияса йӧзлысь дзоньвидзалун видзан министерствоӧн вынсьӧдӧм пӧрадокъяс серти)</t>
    </r>
  </si>
  <si>
    <t>Шӧр мероприятие 1.02010.</t>
  </si>
  <si>
    <t xml:space="preserve">Висьӧмысь видзан прививкаяслӧн национальнӧй календар серти йӧзлысь дзоньвидзалун ёнмӧдӧм кузя мероприятиеяс котыртӧм да нуӧдӧм
</t>
  </si>
  <si>
    <r>
      <t>Э</t>
    </r>
    <r>
      <rPr>
        <sz val="14"/>
        <color indexed="18"/>
        <rFont val="Times New Roman"/>
        <family val="1"/>
      </rPr>
      <t>пидемиологическӧй петкӧдчӧмъяс серти (туляремияысь, бешенствоысь, клещевӧй энцефалитысь) йӧзлысь дзоньвидзалун ёнмӧдӧм кузя мероприятиеяс котыртӧм да нуӧдӧм</t>
    </r>
  </si>
  <si>
    <r>
      <t>Й</t>
    </r>
    <r>
      <rPr>
        <sz val="14"/>
        <color indexed="8"/>
        <rFont val="Times New Roman"/>
        <family val="1"/>
      </rPr>
      <t>ӧзлысь дзоньвидзалун видзан учреждениеяслысь, кутшӧмъяс сетӧны йӧзлы психиатрическӧй отсӧг, материально-техническӧй подувсӧ бурмӧдӧм (“Психика торксигӧн да оласног торксигӧн медицина отсӧг сетан пӧрадок вынсьӧдӧм йылысь” Россия Федерацияса йӧзлысь дзоньвидзалун видзан да йӧзлы отсӧг сетан министерстволӧн 2012 во ода-кора тӧлысь 17 лунся 566н №-а тшӧктӧд серти)</t>
    </r>
  </si>
  <si>
    <r>
      <t>П</t>
    </r>
    <r>
      <rPr>
        <sz val="14"/>
        <color indexed="8"/>
        <rFont val="Times New Roman"/>
        <family val="1"/>
      </rPr>
      <t>сихиатрическӧй висьысьяслы амбулатория тшупӧдын медицина отсӧг котыртӧм бурмӧдӧм</t>
    </r>
  </si>
  <si>
    <r>
      <t>Й</t>
    </r>
    <r>
      <rPr>
        <sz val="14"/>
        <color indexed="8"/>
        <rFont val="Times New Roman"/>
        <family val="1"/>
      </rPr>
      <t>ӧзлысь дзоньвидзалун видзан учреждениеяслысь, кутшӧмъяс тшӧтш сетӧны медицина отсӧг онкология висьӧмъясӧн висьысьяслы, материально-техническӧй подувсӧ бурмӧдӧм (“Верстьӧ олысьяслы “онкология” профиль серти медицина отсӧг сетан пӧрадок вынсьӧдӧм йылысь” Россия Федерацияса йӧзлысь дзоньвидзалун видзан министерстволӧн 2012 во вӧльгым тӧлысь 15 лунся 915н №-а тшӧктӧд серти)</t>
    </r>
  </si>
  <si>
    <r>
      <t>Р</t>
    </r>
    <r>
      <rPr>
        <sz val="14"/>
        <color indexed="8"/>
        <rFont val="Times New Roman"/>
        <family val="1"/>
      </rPr>
      <t>егыдъя медицина отсӧг службалысь уджсӧ бурмӧдӧм («Регыдъя медицина отсӧг сетан пӧрадок вынсьӧдӧм йылысь» Россия Федерацияса йӧзлысь дзоньвидзалун видзан да йӧзлы отсӧг сетан министерстволӧн 2004 во вӧльгым тӧлысь 1 лунся 179 №-а тшӧктӧд серти)</t>
    </r>
  </si>
  <si>
    <r>
      <t>М</t>
    </r>
    <r>
      <rPr>
        <sz val="14"/>
        <color indexed="8"/>
        <rFont val="Times New Roman"/>
        <family val="1"/>
      </rPr>
      <t>ирнӧй да война кадӧ виччысьтӧмторъяс лоигӧн коставлытӧг уджалӧм вылӧ йӧзлысь дзоньвидзалун видзан учреждениеяслы условиеяс лӧсьӧдӧм</t>
    </r>
  </si>
  <si>
    <r>
      <t>В</t>
    </r>
    <r>
      <rPr>
        <sz val="14"/>
        <color indexed="8"/>
        <rFont val="Times New Roman"/>
        <family val="1"/>
      </rPr>
      <t xml:space="preserve">рачьясӧс да шӧр медицинскӧй персоналӧс, мездан службаса (Россия Федерацияса войтырӧс доръян, виччысьтӧмторйысь видзан да неминучаысь колясъяс бырӧдан министерствоса, сы лыдын Россия Федерацияса войтырӧс доръян, виччысьтӧмторйысь видзан да неминучаысь колясъяс бырӧдан Коми Республикаын медшӧр веськӧдланінса, Россия Федерацияса пытшкӧс делӧяс министерстволӧн Туй вылын лёк суӧмысь видзан канму инспекцияса) уджалысьясӧс Неминучаӧ веськалӧмалы медицина школалӧн подув вылын медводдза отсӧг сетан уджтас кузя уджысь орӧдчывтӧг велӧдан система котыртӧм
</t>
    </r>
  </si>
  <si>
    <r>
      <t>В</t>
    </r>
    <r>
      <rPr>
        <sz val="14"/>
        <color indexed="8"/>
        <rFont val="Times New Roman"/>
        <family val="1"/>
      </rPr>
      <t>ир  сетӧм да сылысь компонентъяс сӧсӧвмӧдӧм, сійӧс котыртӧм бурмӧдӧм</t>
    </r>
  </si>
  <si>
    <r>
      <t>Н</t>
    </r>
    <r>
      <rPr>
        <sz val="14"/>
        <color indexed="18"/>
        <rFont val="Times New Roman"/>
        <family val="1"/>
      </rPr>
      <t>еонатальнӧй скрининг котыртӧм бурмӧдӧм</t>
    </r>
  </si>
  <si>
    <t>Шӧр мероприятие 4.0401.</t>
  </si>
  <si>
    <r>
      <t>П</t>
    </r>
    <r>
      <rPr>
        <sz val="14"/>
        <color indexed="18"/>
        <rFont val="Times New Roman"/>
        <family val="1"/>
      </rPr>
      <t>аллиативнӧй отсӧг сетӧм котыртӧм (“Сыктывкарлӧн карса больнича” Коми Республикаса йӧзлысь дзоньвидзалун видзан канму сьӧмкуд учреждение подув вылын отделение, “Воркутаса регыдъя медицина отсӧг сетан больнича”, “Печора районса шӧр  больнича”, “Сосногорск районса шӧр  больнича” Коми Республикаса йӧзлысь дзоньвидзалун видзан канму сьӧмкуд учреждениеяслӧн тэчасын юкӧдувъяс лӧсьӧдӧм)</t>
    </r>
  </si>
  <si>
    <t xml:space="preserve">Сестринскӧй тӧралан койкаяслысь удж бурмӧдӧм
</t>
  </si>
  <si>
    <r>
      <t>Б</t>
    </r>
    <r>
      <rPr>
        <sz val="14"/>
        <color indexed="18"/>
        <rFont val="Times New Roman"/>
        <family val="1"/>
      </rPr>
      <t>урдлытӧм висьӧмъясӧн нёрпалысь челядьлы паллиативнӧй (хосписнӧй) отсӧг сетӧм вылӧ содтӧд койка лыд восьтӧм (“Республикаса челядьлы больнича” канму учреждение, “Ухтаса челядьлы больнича”, “Воркутаса челядьлы больнича”, “Инталӧн шӧр карса больнича”, “Печораса шӧр районнӧй больнича”, “Усинскса шӧр районнӧй больнича” Коми Республикаса йӧзлысь дзоньвидзалун видзан канму сьӧмкуд учреждениеяс подув вылын)</t>
    </r>
  </si>
  <si>
    <r>
      <t>Ш</t>
    </r>
    <r>
      <rPr>
        <sz val="14"/>
        <color indexed="18"/>
        <rFont val="Times New Roman"/>
        <family val="1"/>
      </rPr>
      <t>ӧр тшупӧда уджсикасӧ да вылыс тшупӧда велӧдан уджтасъяс серти медицинскӧй да фармацевтическӧй уджалысьясӧс контракт серти дасьтӧм могмӧдӧм (“Кировса медицинскӧй канму академия” Россия Федерацияса йӧзлысь дзоньвидзалун видзан министерстволӧн вылыс тшупӧда уджсикасӧ велӧдан канму сьӧмкуд учреждениелӧн Коми филиал подув вылын, “Сыктывкарса канму университет” вылыс тшупӧда уджсикасӧ велӧдан канму сьӧмкуд учреждение подув вылын, Россия Федерацияса мукӧд субъектын вылыс тшупӧдӧ велӧдан заведениеяслӧн подув вылын, Сыктывкар, Ухта, Воркута каръясын меститчӧм шӧр тшупӧда уджсикасӧ велӧдан асшӧрлуна канму велӧдан учреждениеяс подув вылын)</t>
    </r>
  </si>
  <si>
    <r>
      <t>Ш</t>
    </r>
    <r>
      <rPr>
        <sz val="14"/>
        <color indexed="18"/>
        <rFont val="Times New Roman"/>
        <family val="1"/>
      </rPr>
      <t>ӧр тшупӧда медицинаӧ велӧдчӧм торъя медицинаын уджалысьяслы ӧтчыдысь мынтан сьӧм сетӧм (“Вылыс тшупӧда уджсикасӧ велӧдчӧм да шӧр тшупӧда уджсикасӧ велӧдчӧм медицинаын уджалысьяслӧн торъя категорияяслы, кодъяс уджалӧны сиктса олан пунктъясын, ӧтчыдысь мынтан сьӧм сетӧм йылысь” Коми Республикаса Веськӧдлан котырлӧн 2012 во урасьӧм тӧлысь 14 лунся 45 №-а шуӧм серти)</t>
    </r>
  </si>
  <si>
    <t>Лекарствоясӧн могмӧдан система, сы лыдын амбулаторнӧй условиеясын, бурмӧдӧм</t>
  </si>
  <si>
    <r>
      <t>“</t>
    </r>
    <r>
      <rPr>
        <sz val="14"/>
        <color indexed="18"/>
        <rFont val="Times New Roman"/>
        <family val="1"/>
      </rPr>
      <t>Медицина промышленносьт сӧвмӧдӧмын канму отсӧг сетӧм йылысь да йӧзӧс да дзоньвидзалун видзан учреждениеяс лекарство средствоясӧн да медицина кӧлуйӧн могмӧдӧм бурмӧдӧм йылысь” Россия Федерацияса Веськӧдлан котырлӧн 1994 во сора тӧлысь 30 лунся 890 №-а шуӧм збыльмӧдігӧн Коми Республикаса йӧзӧс лекарствоясӧн кокньӧд серти могмӧдӧм збыльмӧдӧм кузя рӧскод вӧчӧм</t>
    </r>
  </si>
  <si>
    <r>
      <t>Л</t>
    </r>
    <r>
      <rPr>
        <sz val="14"/>
        <color indexed="18"/>
        <rFont val="Times New Roman"/>
        <family val="1"/>
      </rPr>
      <t>екарство препаратъясӧн, медицина кӧлуйӧн, а сідзжӧ вермытӧм челядьлы специализируйтӧм бурдӧдан сёянӧн могмӧдӧм кузя гражданалӧн торъя категорияяслы канмусянь социальнӧй отсӧг сетӧм (“Канмусянь социальнӧй отсӧг сетӧм йылысь” 1999 во сора тӧлысь 17 лунся 178-ФЗ №-а Федеральнӧй оланпас серти)</t>
    </r>
  </si>
  <si>
    <r>
      <t>Й</t>
    </r>
    <r>
      <rPr>
        <sz val="14"/>
        <color indexed="18"/>
        <rFont val="Times New Roman"/>
        <family val="1"/>
      </rPr>
      <t>ӧзӧс, кодъяс висьӧны мортлӧн иммунодефицит да В да С гепатитъяслӧн вирусъясӧн, висьӧмъясысь видзӧм да бурдӧдӧм вылӧ антивируснӧй препаратъяс ньӧбӧм сьӧмӧн могмӧдӧм (“Йӧзӧс, кодъяс висьӧны мортлӧн иммунодефицит да В да С гепатитъяслӧн вирусъясӧн, висьӧмъясысь видзӧм, тӧдмалӧм да бурдӧдӧм вылӧ диагностируйтан средствояс да антивируснӧй препаратъяс ньӧбӧм сьӧмӧн могмӧдӧм йылысь” Россия Федерацияса Веськӧдлан котырса 2012 вося ӧшым тӧлысь 27 лунся 1438 №-а шуӧм серти)</t>
    </r>
  </si>
  <si>
    <r>
      <t>А</t>
    </r>
    <r>
      <rPr>
        <sz val="14"/>
        <color indexed="18"/>
        <rFont val="Times New Roman"/>
        <family val="1"/>
      </rPr>
      <t xml:space="preserve">нтибактериальнӧй да противотуберкулёзнӧй лекарствояс (мӧд радсӧ), кутшӧмъясӧн вӧдитчӧны туберкулёзӧн висьысьясӧс бурдӧдігӧн, кодъяслӧн висьӧмсӧ кыпӧдысьыс зумыд уна сикас лекарство дорӧ, да туберкулёз микобактериялысь кылӧмсӧ тӧдмалӧм вылӧ да туберкулёзӧн висьысьясӧс, кодъяслӧн висьӧмсӧ кыпӧдысьыс зумыд уна сикас лекарство дорӧ, бурдӧдӧмын мониторинг нуӧдӧм вылӧ диагностируйтан средствояс ньӧбӧм
</t>
    </r>
  </si>
  <si>
    <r>
      <t>М</t>
    </r>
    <r>
      <rPr>
        <sz val="14"/>
        <color indexed="8"/>
        <rFont val="Times New Roman"/>
        <family val="1"/>
      </rPr>
      <t>едицина оборудование да санитарнӧй автотранспорт ӧтувтӧмӧн ньӧбӧм</t>
    </r>
  </si>
  <si>
    <r>
      <t>Г</t>
    </r>
    <r>
      <rPr>
        <sz val="14"/>
        <color indexed="18"/>
        <rFont val="Times New Roman"/>
        <family val="1"/>
      </rPr>
      <t>ражданалысь дзоньвидзалун видзан юкӧнын Россия Федерациялысь уджмогъяс збыльмӧдӧм</t>
    </r>
  </si>
  <si>
    <r>
      <t>Й</t>
    </r>
    <r>
      <rPr>
        <sz val="14"/>
        <color indexed="18"/>
        <rFont val="Times New Roman"/>
        <family val="1"/>
      </rPr>
      <t>ӧзлысь дзоньвидзалун видзан канму учреждениеясӧн, кутшӧмъяс могмӧдӧны йӧзлысь дзоньвидзалун видзан юкӧнын услугаяс сетӧм, канму услугаяс сетӧм (уджъяс вӧчӧм)</t>
    </r>
  </si>
  <si>
    <r>
      <t>В</t>
    </r>
    <r>
      <rPr>
        <sz val="14"/>
        <color indexed="18"/>
        <rFont val="Times New Roman"/>
        <family val="1"/>
      </rPr>
      <t>едомствоувса казённӧй учреждениеяслысь уджсӧ могмӧдӧм</t>
    </r>
  </si>
  <si>
    <r>
      <t>“</t>
    </r>
    <r>
      <rPr>
        <sz val="15"/>
        <color indexed="18"/>
        <rFont val="Times New Roman"/>
        <family val="1"/>
      </rPr>
      <t>Й</t>
    </r>
    <r>
      <rPr>
        <sz val="14"/>
        <color indexed="18"/>
        <rFont val="Times New Roman"/>
        <family val="1"/>
      </rPr>
      <t>ӧзлысь дзоньвидзалун видзӧм сӧвмӧдӧм” Россия Федерацияса канму уджтаслысь торъя мероприятиеяс збыльмӧдӧм</t>
    </r>
  </si>
  <si>
    <t>Примечание: Средства республиканского бюджета Республики Коми, передаваемые в виде иных межбюджетных трансфертов бюджету Федерального фонда обязательного медицинского страхования на обязательное медицинское страхование неработающего населения, а также бюджету территориального фонда обязательного медицинского страхования Республики Коми на выполнение территориальной программы обязательного медицинского страхования в рамках базовой программы обязательного медицинского страхования отражены в строке "Государственные внебюджетные фонды"</t>
  </si>
</sst>
</file>

<file path=xl/styles.xml><?xml version="1.0" encoding="utf-8"?>
<styleSheet xmlns="http://schemas.openxmlformats.org/spreadsheetml/2006/main">
  <numFmts count="7">
    <numFmt numFmtId="164" formatCode="GENERAL"/>
    <numFmt numFmtId="165" formatCode="@"/>
    <numFmt numFmtId="166" formatCode="DD/MM/YYYY"/>
    <numFmt numFmtId="167" formatCode="_-* #,##0.0_р_._-;\-* #,##0.0_р_._-;_-* \-?_р_._-;_-@_-"/>
    <numFmt numFmtId="168" formatCode="_-* #,##0_р_._-;\-* #,##0_р_._-;_-* \-??_р_._-;_-@_-"/>
    <numFmt numFmtId="169" formatCode="#,##0.0_р_.;\-#,##0.0_р_."/>
    <numFmt numFmtId="170" formatCode="#,##0.0_ ;\-#,##0.0\ "/>
  </numFmts>
  <fonts count="26">
    <font>
      <sz val="11"/>
      <color indexed="8"/>
      <name val="Calibri"/>
      <family val="2"/>
    </font>
    <font>
      <sz val="10"/>
      <name val="Arial"/>
      <family val="0"/>
    </font>
    <font>
      <sz val="16"/>
      <name val="Times New Roman"/>
      <family val="1"/>
    </font>
    <font>
      <b/>
      <sz val="16"/>
      <name val="Times New Roman"/>
      <family val="1"/>
    </font>
    <font>
      <b/>
      <sz val="16"/>
      <color indexed="18"/>
      <name val="Times New Roman"/>
      <family val="1"/>
    </font>
    <font>
      <i/>
      <sz val="16"/>
      <name val="Times New Roman"/>
      <family val="1"/>
    </font>
    <font>
      <i/>
      <sz val="16"/>
      <color indexed="18"/>
      <name val="Times New Roman"/>
      <family val="1"/>
    </font>
    <font>
      <sz val="14"/>
      <color indexed="18"/>
      <name val="Times New Roman"/>
      <family val="1"/>
    </font>
    <font>
      <sz val="16"/>
      <color indexed="18"/>
      <name val="Times New Roman"/>
      <family val="1"/>
    </font>
    <font>
      <sz val="14"/>
      <color indexed="8"/>
      <name val="Times New Roman"/>
      <family val="1"/>
    </font>
    <font>
      <b/>
      <sz val="16"/>
      <color indexed="8"/>
      <name val="Times New Roman"/>
      <family val="1"/>
    </font>
    <font>
      <b/>
      <sz val="14"/>
      <color indexed="18"/>
      <name val="Times New Roman"/>
      <family val="1"/>
    </font>
    <font>
      <sz val="14"/>
      <name val="Times New Roman"/>
      <family val="1"/>
    </font>
    <font>
      <i/>
      <sz val="14"/>
      <color indexed="18"/>
      <name val="Times New Roman"/>
      <family val="1"/>
    </font>
    <font>
      <sz val="16"/>
      <color indexed="8"/>
      <name val="Times New Roman"/>
      <family val="1"/>
    </font>
    <font>
      <sz val="11"/>
      <color indexed="18"/>
      <name val="Times New Roman"/>
      <family val="1"/>
    </font>
    <font>
      <sz val="12"/>
      <name val="Times New Roman"/>
      <family val="1"/>
    </font>
    <font>
      <sz val="15"/>
      <color indexed="18"/>
      <name val="Times New Roman"/>
      <family val="1"/>
    </font>
    <font>
      <b/>
      <sz val="11"/>
      <color indexed="18"/>
      <name val="Times New Roman"/>
      <family val="1"/>
    </font>
    <font>
      <b/>
      <sz val="15"/>
      <color indexed="18"/>
      <name val="Times New Roman"/>
      <family val="1"/>
    </font>
    <font>
      <b/>
      <sz val="16"/>
      <name val="Calibri"/>
      <family val="2"/>
    </font>
    <font>
      <sz val="16"/>
      <name val="Calibri"/>
      <family val="2"/>
    </font>
    <font>
      <b/>
      <sz val="14"/>
      <name val="Times New Roman"/>
      <family val="1"/>
    </font>
    <font>
      <sz val="14"/>
      <color indexed="10"/>
      <name val="Times New Roman"/>
      <family val="1"/>
    </font>
    <font>
      <sz val="14"/>
      <name val="Calibri"/>
      <family val="2"/>
    </font>
    <font>
      <b/>
      <sz val="14"/>
      <color indexed="8"/>
      <name val="Times New Roman"/>
      <family val="1"/>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3"/>
        <bgColor indexed="64"/>
      </patternFill>
    </fill>
  </fills>
  <borders count="7">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1">
    <xf numFmtId="164" fontId="0" fillId="0" borderId="0" xfId="0" applyAlignment="1">
      <alignment/>
    </xf>
    <xf numFmtId="164" fontId="2" fillId="2" borderId="0" xfId="0" applyFont="1" applyFill="1" applyAlignment="1">
      <alignment horizontal="center" vertical="top" wrapText="1"/>
    </xf>
    <xf numFmtId="164" fontId="2" fillId="2" borderId="0" xfId="0" applyFont="1" applyFill="1" applyAlignment="1">
      <alignment horizontal="left" vertical="top" wrapText="1"/>
    </xf>
    <xf numFmtId="164" fontId="2" fillId="2" borderId="0" xfId="0" applyFont="1" applyFill="1" applyBorder="1" applyAlignment="1">
      <alignment horizontal="left" vertical="top" wrapText="1"/>
    </xf>
    <xf numFmtId="164" fontId="2" fillId="2" borderId="0" xfId="0" applyFont="1" applyFill="1" applyBorder="1" applyAlignment="1">
      <alignment horizontal="right" vertical="top" wrapText="1"/>
    </xf>
    <xf numFmtId="164" fontId="3" fillId="2" borderId="0" xfId="0" applyFont="1" applyFill="1" applyBorder="1" applyAlignment="1">
      <alignment horizontal="center" vertical="top" wrapText="1"/>
    </xf>
    <xf numFmtId="164" fontId="2" fillId="2" borderId="1" xfId="0" applyFont="1" applyFill="1" applyBorder="1" applyAlignment="1">
      <alignment horizontal="center" vertical="top" wrapText="1"/>
    </xf>
    <xf numFmtId="164" fontId="2" fillId="2" borderId="0" xfId="0" applyFont="1" applyFill="1" applyBorder="1" applyAlignment="1">
      <alignment horizontal="center" vertical="top" wrapText="1"/>
    </xf>
    <xf numFmtId="164" fontId="2" fillId="2" borderId="2" xfId="0" applyFont="1" applyFill="1" applyBorder="1" applyAlignment="1">
      <alignment horizontal="center" vertical="top" wrapText="1"/>
    </xf>
    <xf numFmtId="164" fontId="2" fillId="0" borderId="1" xfId="0" applyFont="1" applyBorder="1" applyAlignment="1">
      <alignment horizontal="center" vertical="top" wrapText="1"/>
    </xf>
    <xf numFmtId="164" fontId="4" fillId="0" borderId="1" xfId="0" applyFont="1" applyBorder="1" applyAlignment="1">
      <alignment horizontal="center"/>
    </xf>
    <xf numFmtId="164" fontId="3" fillId="2" borderId="0" xfId="0" applyFont="1" applyFill="1" applyBorder="1" applyAlignment="1">
      <alignment horizontal="left" vertical="top" wrapText="1"/>
    </xf>
    <xf numFmtId="164" fontId="5"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horizontal="left" vertical="top" wrapText="1"/>
    </xf>
    <xf numFmtId="166" fontId="2" fillId="2" borderId="1" xfId="0" applyNumberFormat="1" applyFont="1" applyFill="1" applyBorder="1" applyAlignment="1">
      <alignment horizontal="center" vertical="top" wrapText="1"/>
    </xf>
    <xf numFmtId="164" fontId="8" fillId="2" borderId="1" xfId="0" applyFont="1" applyFill="1" applyBorder="1" applyAlignment="1">
      <alignment horizontal="left" vertical="top" wrapText="1"/>
    </xf>
    <xf numFmtId="167" fontId="2" fillId="2" borderId="1" xfId="0" applyNumberFormat="1" applyFont="1" applyFill="1" applyBorder="1" applyAlignment="1">
      <alignment horizontal="center" vertical="top" wrapText="1"/>
    </xf>
    <xf numFmtId="164" fontId="2" fillId="2" borderId="3" xfId="0" applyFont="1" applyFill="1" applyBorder="1" applyAlignment="1">
      <alignment horizontal="left" vertical="top" wrapText="1"/>
    </xf>
    <xf numFmtId="164" fontId="8" fillId="2" borderId="1" xfId="0" applyFont="1" applyFill="1" applyBorder="1" applyAlignment="1">
      <alignment horizontal="left" vertical="top" wrapText="1"/>
    </xf>
    <xf numFmtId="164" fontId="10" fillId="0" borderId="1" xfId="0" applyFont="1" applyBorder="1" applyAlignment="1">
      <alignment horizontal="center" vertical="top" wrapText="1"/>
    </xf>
    <xf numFmtId="164" fontId="2" fillId="3" borderId="0" xfId="0" applyFont="1" applyFill="1" applyBorder="1" applyAlignment="1">
      <alignment horizontal="left" vertical="top" wrapText="1"/>
    </xf>
    <xf numFmtId="164" fontId="2" fillId="2" borderId="1" xfId="0" applyFont="1" applyFill="1" applyBorder="1" applyAlignment="1">
      <alignment horizontal="justify" vertical="top" wrapText="1"/>
    </xf>
    <xf numFmtId="164" fontId="5" fillId="0" borderId="1" xfId="0" applyFont="1" applyBorder="1" applyAlignment="1">
      <alignment horizontal="center" vertical="top" wrapText="1"/>
    </xf>
    <xf numFmtId="167" fontId="2" fillId="2" borderId="1" xfId="0" applyNumberFormat="1" applyFont="1" applyFill="1" applyBorder="1" applyAlignment="1">
      <alignment horizontal="left" vertical="top" wrapText="1"/>
    </xf>
    <xf numFmtId="164" fontId="2" fillId="2" borderId="1" xfId="0" applyFont="1" applyFill="1" applyBorder="1" applyAlignment="1">
      <alignment vertical="top" wrapText="1"/>
    </xf>
    <xf numFmtId="164" fontId="14" fillId="2" borderId="1" xfId="0" applyFont="1" applyFill="1" applyBorder="1" applyAlignment="1">
      <alignment horizontal="left" vertical="top" wrapText="1"/>
    </xf>
    <xf numFmtId="164" fontId="4" fillId="3" borderId="1" xfId="0" applyFont="1" applyFill="1" applyBorder="1" applyAlignment="1">
      <alignment horizontal="center" vertical="top" wrapText="1"/>
    </xf>
    <xf numFmtId="164" fontId="5" fillId="2" borderId="0" xfId="0" applyFont="1" applyFill="1" applyBorder="1" applyAlignment="1">
      <alignment horizontal="left" vertical="top" wrapText="1"/>
    </xf>
    <xf numFmtId="164" fontId="5" fillId="2" borderId="3" xfId="0" applyFont="1" applyFill="1" applyBorder="1" applyAlignment="1">
      <alignment horizontal="left" vertical="top" wrapText="1"/>
    </xf>
    <xf numFmtId="164" fontId="2" fillId="2" borderId="2" xfId="0" applyFont="1" applyFill="1" applyBorder="1" applyAlignment="1">
      <alignment horizontal="left" vertical="top" wrapText="1"/>
    </xf>
    <xf numFmtId="167" fontId="2" fillId="2" borderId="3" xfId="0" applyNumberFormat="1" applyFont="1" applyFill="1" applyBorder="1" applyAlignment="1">
      <alignment horizontal="center" vertical="top" wrapText="1"/>
    </xf>
    <xf numFmtId="164" fontId="8" fillId="2" borderId="4" xfId="0" applyFont="1" applyFill="1" applyBorder="1" applyAlignment="1">
      <alignment horizontal="left" vertical="top" wrapText="1"/>
    </xf>
    <xf numFmtId="164" fontId="2" fillId="2" borderId="4" xfId="0" applyFont="1" applyFill="1" applyBorder="1" applyAlignment="1">
      <alignment horizontal="left" vertical="top" wrapText="1"/>
    </xf>
    <xf numFmtId="166" fontId="2" fillId="2" borderId="3" xfId="0" applyNumberFormat="1" applyFont="1" applyFill="1" applyBorder="1" applyAlignment="1">
      <alignment horizontal="center" vertical="top" wrapText="1"/>
    </xf>
    <xf numFmtId="164" fontId="8" fillId="2" borderId="4" xfId="0" applyFont="1" applyFill="1" applyBorder="1" applyAlignment="1">
      <alignment horizontal="left" vertical="top" wrapText="1"/>
    </xf>
    <xf numFmtId="164" fontId="2" fillId="2" borderId="5" xfId="0" applyFont="1" applyFill="1" applyBorder="1" applyAlignment="1">
      <alignment horizontal="left" vertical="top" wrapText="1"/>
    </xf>
    <xf numFmtId="164" fontId="2" fillId="2" borderId="6" xfId="0" applyFont="1" applyFill="1" applyBorder="1" applyAlignment="1">
      <alignment horizontal="left" vertical="top" wrapText="1"/>
    </xf>
    <xf numFmtId="164" fontId="3" fillId="2" borderId="1" xfId="0" applyFont="1" applyFill="1" applyBorder="1" applyAlignment="1">
      <alignment horizontal="left" vertical="top" wrapText="1"/>
    </xf>
    <xf numFmtId="164" fontId="3" fillId="3" borderId="1" xfId="0" applyFont="1" applyFill="1" applyBorder="1" applyAlignment="1">
      <alignment horizontal="center" vertical="top" wrapText="1"/>
    </xf>
    <xf numFmtId="164" fontId="10" fillId="3" borderId="1" xfId="0" applyFont="1" applyFill="1" applyBorder="1" applyAlignment="1">
      <alignment horizontal="center" vertical="top" wrapText="1"/>
    </xf>
    <xf numFmtId="167" fontId="2" fillId="2" borderId="0" xfId="0" applyNumberFormat="1" applyFont="1" applyFill="1" applyAlignment="1">
      <alignment horizontal="center" vertical="top" wrapText="1"/>
    </xf>
    <xf numFmtId="164" fontId="20" fillId="0" borderId="0" xfId="0" applyFont="1" applyAlignment="1">
      <alignment vertical="top" wrapText="1"/>
    </xf>
    <xf numFmtId="164" fontId="20" fillId="0" borderId="0" xfId="0" applyFont="1" applyAlignment="1">
      <alignment horizontal="center" vertical="top" wrapText="1"/>
    </xf>
    <xf numFmtId="164" fontId="21" fillId="0" borderId="0" xfId="0" applyFont="1" applyAlignment="1">
      <alignment vertical="top" wrapText="1"/>
    </xf>
    <xf numFmtId="164" fontId="21" fillId="0" borderId="0" xfId="0" applyFont="1" applyAlignment="1">
      <alignment horizontal="center" vertical="top" wrapText="1"/>
    </xf>
    <xf numFmtId="164" fontId="2" fillId="0" borderId="0" xfId="0" applyFont="1" applyBorder="1" applyAlignment="1">
      <alignment horizontal="center" vertical="top" wrapText="1"/>
    </xf>
    <xf numFmtId="164" fontId="2" fillId="0" borderId="0" xfId="0" applyFont="1" applyAlignment="1">
      <alignment vertical="top" wrapText="1"/>
    </xf>
    <xf numFmtId="164" fontId="3" fillId="0" borderId="0" xfId="0" applyFont="1" applyBorder="1" applyAlignment="1">
      <alignment horizontal="center" vertical="top" wrapText="1"/>
    </xf>
    <xf numFmtId="164" fontId="2" fillId="2" borderId="1" xfId="0" applyFont="1" applyFill="1" applyBorder="1" applyAlignment="1">
      <alignment horizontal="center" vertical="top" wrapText="1"/>
    </xf>
    <xf numFmtId="164" fontId="2" fillId="2" borderId="1" xfId="0" applyFont="1" applyFill="1" applyBorder="1" applyAlignment="1">
      <alignment horizontal="center" vertical="top" wrapText="1"/>
    </xf>
    <xf numFmtId="164" fontId="2" fillId="0" borderId="3" xfId="0" applyFont="1" applyBorder="1" applyAlignment="1">
      <alignment horizontal="center" vertical="top" wrapText="1"/>
    </xf>
    <xf numFmtId="164" fontId="2" fillId="0" borderId="1" xfId="0" applyFont="1" applyBorder="1" applyAlignment="1">
      <alignment horizontal="center" vertical="top" wrapText="1"/>
    </xf>
    <xf numFmtId="165" fontId="2" fillId="0" borderId="1" xfId="0" applyNumberFormat="1" applyFont="1" applyBorder="1" applyAlignment="1">
      <alignment horizontal="center" vertical="top" wrapText="1"/>
    </xf>
    <xf numFmtId="164" fontId="3" fillId="2" borderId="1" xfId="0" applyFont="1" applyFill="1" applyBorder="1" applyAlignment="1">
      <alignment horizontal="center" vertical="top" wrapText="1"/>
    </xf>
    <xf numFmtId="164" fontId="3" fillId="2" borderId="1" xfId="0" applyFont="1" applyFill="1" applyBorder="1" applyAlignment="1">
      <alignment horizontal="left" vertical="top" wrapText="1"/>
    </xf>
    <xf numFmtId="167" fontId="3" fillId="2" borderId="4" xfId="0" applyNumberFormat="1" applyFont="1" applyFill="1" applyBorder="1" applyAlignment="1">
      <alignment horizontal="center" vertical="top" wrapText="1"/>
    </xf>
    <xf numFmtId="167" fontId="3" fillId="4" borderId="4" xfId="0" applyNumberFormat="1" applyFont="1" applyFill="1" applyBorder="1" applyAlignment="1">
      <alignment horizontal="center" vertical="top" wrapText="1"/>
    </xf>
    <xf numFmtId="167" fontId="20" fillId="4" borderId="0" xfId="0" applyNumberFormat="1" applyFont="1" applyFill="1" applyAlignment="1">
      <alignment vertical="top" wrapText="1"/>
    </xf>
    <xf numFmtId="164" fontId="20" fillId="4" borderId="0" xfId="0" applyFont="1" applyFill="1" applyAlignment="1">
      <alignment vertical="top" wrapText="1"/>
    </xf>
    <xf numFmtId="167" fontId="3" fillId="2" borderId="1" xfId="0" applyNumberFormat="1" applyFont="1" applyFill="1" applyBorder="1" applyAlignment="1">
      <alignment horizontal="center" vertical="top" wrapText="1"/>
    </xf>
    <xf numFmtId="167" fontId="3" fillId="4" borderId="1" xfId="0" applyNumberFormat="1" applyFont="1" applyFill="1" applyBorder="1" applyAlignment="1">
      <alignment horizontal="center" vertical="top" wrapText="1"/>
    </xf>
    <xf numFmtId="164" fontId="4" fillId="2" borderId="1" xfId="0" applyFont="1" applyFill="1" applyBorder="1" applyAlignment="1">
      <alignment horizontal="center" vertical="top" wrapText="1"/>
    </xf>
    <xf numFmtId="165" fontId="3" fillId="2" borderId="1" xfId="0" applyNumberFormat="1" applyFont="1" applyFill="1" applyBorder="1" applyAlignment="1">
      <alignment horizontal="center" vertical="top" wrapText="1"/>
    </xf>
    <xf numFmtId="164" fontId="2" fillId="0" borderId="1" xfId="0" applyFont="1" applyBorder="1" applyAlignment="1">
      <alignment vertical="top" wrapText="1"/>
    </xf>
    <xf numFmtId="164" fontId="2" fillId="2" borderId="1" xfId="0" applyFont="1" applyFill="1" applyBorder="1" applyAlignment="1">
      <alignment horizontal="left" vertical="top" wrapText="1"/>
    </xf>
    <xf numFmtId="168" fontId="2" fillId="2" borderId="1" xfId="0" applyNumberFormat="1" applyFont="1" applyFill="1" applyBorder="1" applyAlignment="1">
      <alignment horizontal="center" vertical="top" wrapText="1"/>
    </xf>
    <xf numFmtId="167"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7" fontId="21" fillId="0" borderId="0" xfId="0" applyNumberFormat="1" applyFont="1" applyAlignment="1">
      <alignment vertical="top" wrapText="1"/>
    </xf>
    <xf numFmtId="164" fontId="21" fillId="2" borderId="0" xfId="0" applyFont="1" applyFill="1" applyAlignment="1">
      <alignment vertical="top" wrapText="1"/>
    </xf>
    <xf numFmtId="164" fontId="2" fillId="0" borderId="1" xfId="0" applyFont="1" applyFill="1" applyBorder="1" applyAlignment="1">
      <alignment horizontal="left" vertical="top" wrapText="1"/>
    </xf>
    <xf numFmtId="164" fontId="4" fillId="2" borderId="1" xfId="0" applyFont="1" applyFill="1" applyBorder="1" applyAlignment="1">
      <alignment vertical="top" wrapText="1"/>
    </xf>
    <xf numFmtId="164" fontId="14"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164" fontId="14" fillId="2" borderId="1" xfId="0" applyFont="1" applyFill="1" applyBorder="1" applyAlignment="1">
      <alignment horizontal="left" vertical="top" wrapText="1"/>
    </xf>
    <xf numFmtId="164" fontId="2" fillId="0" borderId="1" xfId="0" applyFont="1" applyFill="1" applyBorder="1" applyAlignment="1">
      <alignment horizontal="center" vertical="top" wrapText="1"/>
    </xf>
    <xf numFmtId="164" fontId="2" fillId="2" borderId="1" xfId="0" applyFont="1" applyFill="1" applyBorder="1" applyAlignment="1">
      <alignment horizontal="left" vertical="top" wrapText="1"/>
    </xf>
    <xf numFmtId="164" fontId="20" fillId="2" borderId="0" xfId="0" applyFont="1" applyFill="1" applyAlignment="1">
      <alignment vertical="top" wrapText="1"/>
    </xf>
    <xf numFmtId="164" fontId="4" fillId="2" borderId="1" xfId="0" applyFont="1" applyFill="1" applyBorder="1" applyAlignment="1">
      <alignment horizontal="left" vertical="top" wrapText="1"/>
    </xf>
    <xf numFmtId="167" fontId="20" fillId="2" borderId="0" xfId="0" applyNumberFormat="1" applyFont="1" applyFill="1" applyAlignment="1">
      <alignment vertical="top" wrapText="1"/>
    </xf>
    <xf numFmtId="164" fontId="8" fillId="2" borderId="1" xfId="0" applyFont="1" applyFill="1" applyBorder="1" applyAlignment="1">
      <alignment horizontal="justify" vertical="top" wrapText="1"/>
    </xf>
    <xf numFmtId="164" fontId="21" fillId="0" borderId="1" xfId="0" applyFont="1" applyBorder="1" applyAlignment="1">
      <alignment horizontal="center" vertical="top" wrapText="1"/>
    </xf>
    <xf numFmtId="165" fontId="21" fillId="0" borderId="1" xfId="0" applyNumberFormat="1" applyFont="1" applyBorder="1" applyAlignment="1">
      <alignment horizontal="center" vertical="top" wrapText="1"/>
    </xf>
    <xf numFmtId="167" fontId="2" fillId="0" borderId="1" xfId="0" applyNumberFormat="1" applyFont="1" applyBorder="1" applyAlignment="1">
      <alignment horizontal="center" vertical="top" wrapText="1"/>
    </xf>
    <xf numFmtId="164" fontId="3" fillId="2" borderId="2" xfId="0" applyFont="1" applyFill="1" applyBorder="1" applyAlignment="1">
      <alignment horizontal="left" vertical="top" wrapText="1"/>
    </xf>
    <xf numFmtId="164" fontId="10" fillId="2" borderId="1" xfId="0" applyFont="1" applyFill="1" applyBorder="1" applyAlignment="1">
      <alignment horizontal="left" vertical="top" wrapText="1"/>
    </xf>
    <xf numFmtId="167" fontId="20" fillId="0" borderId="0" xfId="0" applyNumberFormat="1" applyFont="1" applyAlignment="1">
      <alignment horizontal="center" vertical="top" wrapText="1"/>
    </xf>
    <xf numFmtId="164" fontId="9" fillId="0" borderId="0" xfId="0" applyFont="1" applyAlignment="1">
      <alignment wrapText="1"/>
    </xf>
    <xf numFmtId="164" fontId="9" fillId="2" borderId="0" xfId="0" applyFont="1" applyFill="1" applyAlignment="1">
      <alignment horizontal="center" wrapText="1"/>
    </xf>
    <xf numFmtId="164" fontId="9" fillId="0" borderId="0" xfId="0" applyFont="1" applyAlignment="1">
      <alignment horizontal="center" wrapText="1"/>
    </xf>
    <xf numFmtId="164" fontId="24" fillId="0" borderId="0" xfId="0" applyFont="1" applyAlignment="1">
      <alignment vertical="top" wrapText="1"/>
    </xf>
    <xf numFmtId="164" fontId="24" fillId="0" borderId="0" xfId="0" applyFont="1" applyBorder="1" applyAlignment="1">
      <alignment horizontal="center" vertical="top" wrapText="1"/>
    </xf>
    <xf numFmtId="164" fontId="24" fillId="0" borderId="0" xfId="0" applyFont="1" applyAlignment="1">
      <alignment horizontal="center" vertical="top" wrapText="1"/>
    </xf>
    <xf numFmtId="164" fontId="9" fillId="0" borderId="0" xfId="0" applyFont="1" applyBorder="1" applyAlignment="1">
      <alignment horizontal="center" vertical="top" wrapText="1"/>
    </xf>
    <xf numFmtId="164" fontId="9" fillId="0" borderId="0" xfId="0" applyFont="1" applyAlignment="1">
      <alignment horizontal="right" wrapText="1"/>
    </xf>
    <xf numFmtId="164" fontId="25" fillId="0" borderId="0" xfId="0" applyFont="1" applyAlignment="1">
      <alignment horizontal="center" vertical="center" wrapText="1"/>
    </xf>
    <xf numFmtId="164" fontId="10" fillId="0" borderId="0" xfId="0" applyFont="1" applyBorder="1" applyAlignment="1">
      <alignment horizontal="center" vertical="center" wrapText="1"/>
    </xf>
    <xf numFmtId="164" fontId="9" fillId="0" borderId="0" xfId="0" applyFont="1" applyAlignment="1">
      <alignment vertical="center" wrapText="1"/>
    </xf>
    <xf numFmtId="164" fontId="9" fillId="0" borderId="1" xfId="0" applyFont="1" applyBorder="1" applyAlignment="1">
      <alignment horizontal="center" vertical="center" wrapText="1"/>
    </xf>
    <xf numFmtId="164" fontId="12" fillId="0" borderId="1" xfId="0" applyFont="1" applyBorder="1" applyAlignment="1">
      <alignment horizontal="center" vertical="center" wrapText="1"/>
    </xf>
    <xf numFmtId="164" fontId="12" fillId="2" borderId="1" xfId="0" applyFont="1" applyFill="1" applyBorder="1" applyAlignment="1">
      <alignment horizontal="center" vertical="top" wrapText="1"/>
    </xf>
    <xf numFmtId="164" fontId="12" fillId="0" borderId="1" xfId="0" applyFont="1" applyBorder="1" applyAlignment="1">
      <alignment horizontal="center" vertical="top" wrapText="1"/>
    </xf>
    <xf numFmtId="164" fontId="9" fillId="2" borderId="1" xfId="0" applyFont="1" applyFill="1" applyBorder="1" applyAlignment="1">
      <alignment horizontal="center" vertical="center" wrapText="1"/>
    </xf>
    <xf numFmtId="164" fontId="9" fillId="0" borderId="1" xfId="0" applyFont="1" applyBorder="1" applyAlignment="1">
      <alignment horizontal="center" wrapText="1"/>
    </xf>
    <xf numFmtId="164" fontId="22" fillId="2" borderId="1" xfId="0" applyFont="1" applyFill="1" applyBorder="1" applyAlignment="1">
      <alignment horizontal="center" vertical="center" wrapText="1"/>
    </xf>
    <xf numFmtId="164" fontId="25" fillId="2" borderId="1" xfId="0" applyFont="1" applyFill="1" applyBorder="1" applyAlignment="1">
      <alignment horizontal="center" vertical="center" wrapText="1"/>
    </xf>
    <xf numFmtId="164" fontId="9" fillId="2" borderId="1" xfId="0" applyFont="1" applyFill="1" applyBorder="1" applyAlignment="1">
      <alignment vertical="center" wrapText="1"/>
    </xf>
    <xf numFmtId="169" fontId="25" fillId="2" borderId="1" xfId="0" applyNumberFormat="1" applyFont="1" applyFill="1" applyBorder="1" applyAlignment="1">
      <alignment horizontal="center" vertical="center" wrapText="1"/>
    </xf>
    <xf numFmtId="169" fontId="9" fillId="2" borderId="0" xfId="0" applyNumberFormat="1" applyFont="1" applyFill="1" applyAlignment="1">
      <alignment wrapText="1"/>
    </xf>
    <xf numFmtId="164" fontId="9" fillId="5" borderId="0" xfId="0" applyFont="1" applyFill="1" applyAlignment="1">
      <alignment wrapText="1"/>
    </xf>
    <xf numFmtId="169" fontId="9" fillId="2" borderId="1" xfId="0" applyNumberFormat="1" applyFont="1" applyFill="1" applyBorder="1" applyAlignment="1">
      <alignment horizontal="center" vertical="center" wrapText="1"/>
    </xf>
    <xf numFmtId="164" fontId="9" fillId="2" borderId="1" xfId="0" applyFont="1" applyFill="1" applyBorder="1" applyAlignment="1">
      <alignment horizontal="justify" vertical="center" wrapText="1"/>
    </xf>
    <xf numFmtId="164" fontId="11" fillId="2" borderId="1" xfId="0" applyFont="1" applyFill="1" applyBorder="1" applyAlignment="1">
      <alignment horizontal="center" vertical="center" wrapText="1"/>
    </xf>
    <xf numFmtId="164" fontId="25" fillId="2" borderId="1" xfId="0" applyFont="1" applyFill="1" applyBorder="1" applyAlignment="1">
      <alignment vertical="center" wrapText="1"/>
    </xf>
    <xf numFmtId="164" fontId="25" fillId="6" borderId="0" xfId="0" applyFont="1" applyFill="1" applyAlignment="1">
      <alignment wrapText="1"/>
    </xf>
    <xf numFmtId="164" fontId="9" fillId="6" borderId="0" xfId="0" applyFont="1" applyFill="1" applyAlignment="1">
      <alignment wrapText="1"/>
    </xf>
    <xf numFmtId="169" fontId="9" fillId="2" borderId="1" xfId="0" applyNumberFormat="1" applyFont="1" applyFill="1" applyBorder="1" applyAlignment="1">
      <alignment horizontal="center" vertical="top" wrapText="1"/>
    </xf>
    <xf numFmtId="164" fontId="7" fillId="0" borderId="1" xfId="0" applyFont="1" applyBorder="1" applyAlignment="1">
      <alignment horizontal="center" vertical="center" wrapText="1"/>
    </xf>
    <xf numFmtId="164" fontId="25" fillId="0" borderId="1" xfId="0" applyFont="1" applyBorder="1" applyAlignment="1">
      <alignment vertical="center" wrapText="1"/>
    </xf>
    <xf numFmtId="169" fontId="25" fillId="0" borderId="1" xfId="0" applyNumberFormat="1" applyFont="1" applyBorder="1" applyAlignment="1">
      <alignment horizontal="center" vertical="center" wrapText="1"/>
    </xf>
    <xf numFmtId="164" fontId="9" fillId="0" borderId="1" xfId="0" applyFont="1" applyBorder="1" applyAlignment="1">
      <alignment vertical="center" wrapText="1"/>
    </xf>
    <xf numFmtId="169" fontId="9" fillId="0" borderId="1" xfId="0" applyNumberFormat="1" applyFont="1" applyBorder="1" applyAlignment="1">
      <alignment horizontal="center" vertical="center" wrapText="1"/>
    </xf>
    <xf numFmtId="169" fontId="9" fillId="0" borderId="0" xfId="0" applyNumberFormat="1" applyFont="1" applyAlignment="1">
      <alignment wrapText="1"/>
    </xf>
    <xf numFmtId="164" fontId="9" fillId="0" borderId="1" xfId="0" applyFont="1" applyBorder="1" applyAlignment="1">
      <alignment horizontal="justify" vertical="center" wrapText="1"/>
    </xf>
    <xf numFmtId="164" fontId="14" fillId="0" borderId="1" xfId="0" applyFont="1" applyBorder="1" applyAlignment="1">
      <alignment horizontal="center" vertical="center" wrapText="1"/>
    </xf>
    <xf numFmtId="164" fontId="9" fillId="2" borderId="0" xfId="0" applyFont="1" applyFill="1" applyAlignment="1">
      <alignment wrapText="1"/>
    </xf>
    <xf numFmtId="164" fontId="9" fillId="0" borderId="1" xfId="0" applyFont="1" applyBorder="1" applyAlignment="1">
      <alignment horizontal="center" vertical="center" wrapText="1"/>
    </xf>
    <xf numFmtId="170" fontId="9" fillId="2" borderId="0" xfId="0" applyNumberFormat="1" applyFont="1" applyFill="1" applyAlignment="1">
      <alignment wrapText="1"/>
    </xf>
    <xf numFmtId="164" fontId="2" fillId="0" borderId="1" xfId="0" applyFont="1" applyBorder="1" applyAlignment="1">
      <alignment horizontal="center" vertical="center" wrapText="1"/>
    </xf>
    <xf numFmtId="164" fontId="4" fillId="2" borderId="1" xfId="0" applyFont="1" applyFill="1" applyBorder="1" applyAlignment="1">
      <alignment horizontal="center" vertical="center" wrapText="1"/>
    </xf>
    <xf numFmtId="164" fontId="14" fillId="0" borderId="1" xfId="0" applyFont="1" applyBorder="1" applyAlignment="1">
      <alignment horizontal="center" vertical="top" wrapText="1"/>
    </xf>
    <xf numFmtId="164" fontId="25" fillId="2" borderId="0" xfId="0" applyFont="1" applyFill="1" applyAlignment="1">
      <alignment wrapText="1"/>
    </xf>
    <xf numFmtId="164" fontId="15" fillId="0" borderId="1" xfId="0" applyFont="1" applyBorder="1" applyAlignment="1">
      <alignment horizontal="center" vertical="center" wrapText="1"/>
    </xf>
    <xf numFmtId="164" fontId="2" fillId="2" borderId="1" xfId="0" applyFont="1" applyFill="1" applyBorder="1" applyAlignment="1">
      <alignment horizontal="center" vertical="center" wrapText="1"/>
    </xf>
    <xf numFmtId="164" fontId="15" fillId="2" borderId="1" xfId="0" applyFont="1" applyFill="1" applyBorder="1" applyAlignment="1">
      <alignment horizontal="center" vertical="center" wrapText="1"/>
    </xf>
    <xf numFmtId="164" fontId="25" fillId="2" borderId="1" xfId="0" applyFont="1" applyFill="1" applyBorder="1" applyAlignment="1">
      <alignment horizontal="center" vertical="center" wrapText="1"/>
    </xf>
    <xf numFmtId="164" fontId="9" fillId="0" borderId="0" xfId="0" applyFont="1" applyBorder="1" applyAlignment="1">
      <alignment horizontal="left" vertical="top" wrapText="1"/>
    </xf>
    <xf numFmtId="169" fontId="9" fillId="0" borderId="0" xfId="0" applyNumberFormat="1" applyFont="1" applyAlignment="1">
      <alignment horizontal="center" wrapText="1"/>
    </xf>
    <xf numFmtId="170" fontId="9"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natasha\&#1056;&#1072;&#1073;&#1086;&#1095;&#1080;&#1081;%20&#1089;&#1090;&#1086;&#1083;\&#1040;&#1089;&#1083;&#1072;&#1084;\1.%20&#1059;&#1044;&#1046;&#1066;&#1071;&#1057;\2014%20&#1075;&#1086;&#1076;\&#1055;&#1055;-560-13\home\natash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home\vorobjeva\&#1056;&#1072;&#1073;&#1086;&#1095;&#1080;&#1081;%20&#1089;&#1090;&#1086;&#1083;\&#1040;&#1089;&#1083;&#1072;&#1084;\1.%20&#1059;&#1044;&#1046;&#1066;&#1071;&#1057;\2014%20&#1075;&#1086;&#1076;\&#1055;&#1055;-560-13\&#1058;&#1040;&#1041;&#1051;&#1048;&#1062;&#1040;%207&#1072;_2014-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vv002\AppData\Local\Microsoft\Windows\Temporary%20Internet%20Files\Content.Outlook\JPPMJVC8\&#1058;&#1040;&#1041;&#1051;&#1048;&#1062;&#1040;%207&#1072;_2014-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 7а"/>
    </sheetNames>
    <sheetDataSet>
      <sheetData sheetId="0">
        <row r="12">
          <cell r="J12">
            <v>50000</v>
          </cell>
          <cell r="K12">
            <v>100000</v>
          </cell>
          <cell r="L12">
            <v>100000</v>
          </cell>
        </row>
        <row r="48">
          <cell r="J48">
            <v>100000</v>
          </cell>
          <cell r="K48">
            <v>100000</v>
          </cell>
          <cell r="L48">
            <v>24177.7</v>
          </cell>
        </row>
        <row r="53">
          <cell r="J53">
            <v>93493</v>
          </cell>
          <cell r="K53">
            <v>799500</v>
          </cell>
          <cell r="L53">
            <v>704070</v>
          </cell>
        </row>
        <row r="57">
          <cell r="J57">
            <v>34125</v>
          </cell>
          <cell r="K57">
            <v>0</v>
          </cell>
          <cell r="L57">
            <v>0</v>
          </cell>
        </row>
        <row r="61">
          <cell r="J61">
            <v>0</v>
          </cell>
          <cell r="K61">
            <v>0</v>
          </cell>
          <cell r="L61">
            <v>0</v>
          </cell>
        </row>
        <row r="67">
          <cell r="J67">
            <v>16500</v>
          </cell>
          <cell r="K67">
            <v>0</v>
          </cell>
          <cell r="L67">
            <v>0</v>
          </cell>
        </row>
        <row r="72">
          <cell r="J72">
            <v>0</v>
          </cell>
          <cell r="K72">
            <v>0</v>
          </cell>
          <cell r="L72">
            <v>0</v>
          </cell>
        </row>
        <row r="78">
          <cell r="J78">
            <v>1030000</v>
          </cell>
          <cell r="K78">
            <v>500000</v>
          </cell>
          <cell r="L7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лица 7а"/>
    </sheetNames>
    <sheetDataSet>
      <sheetData sheetId="0">
        <row r="85">
          <cell r="J85">
            <v>1030000</v>
          </cell>
          <cell r="K85">
            <v>500000</v>
          </cell>
          <cell r="L8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S284"/>
  <sheetViews>
    <sheetView view="pageBreakPreview" zoomScale="90" zoomScaleNormal="80" zoomScaleSheetLayoutView="90" workbookViewId="0" topLeftCell="A7">
      <selection activeCell="I88" sqref="I88"/>
    </sheetView>
  </sheetViews>
  <sheetFormatPr defaultColWidth="9.140625" defaultRowHeight="15"/>
  <cols>
    <col min="1" max="1" width="9.00390625" style="1" customWidth="1"/>
    <col min="2" max="2" width="74.8515625" style="2" customWidth="1"/>
    <col min="3" max="8" width="0" style="1" hidden="1" customWidth="1"/>
    <col min="9" max="9" width="62.28125" style="2" customWidth="1"/>
    <col min="10" max="10" width="40.140625" style="2" customWidth="1"/>
    <col min="11" max="11" width="106.28125" style="2" customWidth="1"/>
    <col min="12" max="16384" width="9.140625" style="3" customWidth="1"/>
  </cols>
  <sheetData>
    <row r="1" spans="10:11" ht="38.25" customHeight="1">
      <c r="J1" s="4" t="s">
        <v>0</v>
      </c>
      <c r="K1" s="4"/>
    </row>
    <row r="2" spans="2:11" ht="39" customHeight="1">
      <c r="B2" s="5" t="s">
        <v>1</v>
      </c>
      <c r="C2" s="5"/>
      <c r="D2" s="5"/>
      <c r="E2" s="5"/>
      <c r="F2" s="5"/>
      <c r="G2" s="5"/>
      <c r="H2" s="5"/>
      <c r="I2" s="5"/>
      <c r="J2" s="5"/>
      <c r="K2" s="5"/>
    </row>
    <row r="3" ht="21.75"/>
    <row r="4" spans="1:11" s="7" customFormat="1" ht="30" customHeight="1">
      <c r="A4" s="6" t="s">
        <v>2</v>
      </c>
      <c r="B4" s="6" t="s">
        <v>3</v>
      </c>
      <c r="C4" s="6" t="s">
        <v>4</v>
      </c>
      <c r="D4" s="6" t="s">
        <v>5</v>
      </c>
      <c r="E4" s="6"/>
      <c r="F4" s="6" t="s">
        <v>6</v>
      </c>
      <c r="G4" s="6"/>
      <c r="H4" s="6"/>
      <c r="I4" s="6" t="s">
        <v>7</v>
      </c>
      <c r="J4" s="6" t="s">
        <v>8</v>
      </c>
      <c r="K4" s="6" t="s">
        <v>9</v>
      </c>
    </row>
    <row r="5" spans="1:11" s="7" customFormat="1" ht="72.75" customHeight="1">
      <c r="A5" s="6"/>
      <c r="B5" s="6"/>
      <c r="C5" s="6"/>
      <c r="D5" s="8" t="s">
        <v>10</v>
      </c>
      <c r="E5" s="8" t="s">
        <v>11</v>
      </c>
      <c r="F5" s="9" t="s">
        <v>12</v>
      </c>
      <c r="G5" s="9" t="s">
        <v>13</v>
      </c>
      <c r="H5" s="9" t="s">
        <v>14</v>
      </c>
      <c r="I5" s="6"/>
      <c r="J5" s="6"/>
      <c r="K5" s="6"/>
    </row>
    <row r="6" spans="1:11" s="7" customFormat="1" ht="20.25" customHeight="1">
      <c r="A6" s="6">
        <v>1</v>
      </c>
      <c r="B6" s="6">
        <v>2</v>
      </c>
      <c r="C6" s="6">
        <v>3</v>
      </c>
      <c r="D6" s="6">
        <v>4</v>
      </c>
      <c r="E6" s="6">
        <v>5</v>
      </c>
      <c r="F6" s="6"/>
      <c r="G6" s="6"/>
      <c r="H6" s="6"/>
      <c r="I6" s="6">
        <v>3</v>
      </c>
      <c r="J6" s="6">
        <v>4</v>
      </c>
      <c r="K6" s="6">
        <v>5</v>
      </c>
    </row>
    <row r="7" spans="1:11" s="11" customFormat="1" ht="20.25" customHeight="1">
      <c r="A7" s="10" t="s">
        <v>15</v>
      </c>
      <c r="B7" s="10"/>
      <c r="C7" s="10"/>
      <c r="D7" s="10"/>
      <c r="E7" s="10"/>
      <c r="F7" s="10"/>
      <c r="G7" s="10"/>
      <c r="H7" s="10"/>
      <c r="I7" s="10"/>
      <c r="J7" s="10"/>
      <c r="K7" s="10"/>
    </row>
    <row r="8" spans="1:11" ht="48" customHeight="1">
      <c r="A8" s="12" t="s">
        <v>16</v>
      </c>
      <c r="B8" s="12"/>
      <c r="C8" s="12"/>
      <c r="D8" s="12"/>
      <c r="E8" s="12"/>
      <c r="F8" s="12"/>
      <c r="G8" s="12"/>
      <c r="H8" s="12"/>
      <c r="I8" s="12"/>
      <c r="J8" s="12"/>
      <c r="K8" s="12"/>
    </row>
    <row r="9" spans="1:11" ht="109.5" customHeight="1">
      <c r="A9" s="13" t="s">
        <v>17</v>
      </c>
      <c r="B9" s="14" t="s">
        <v>18</v>
      </c>
      <c r="C9" s="6" t="s">
        <v>19</v>
      </c>
      <c r="D9" s="15">
        <v>41640</v>
      </c>
      <c r="E9" s="15">
        <v>44196</v>
      </c>
      <c r="F9" s="6"/>
      <c r="G9" s="6"/>
      <c r="H9" s="6"/>
      <c r="I9" s="16" t="s">
        <v>20</v>
      </c>
      <c r="J9" s="14" t="s">
        <v>21</v>
      </c>
      <c r="K9" s="14" t="s">
        <v>22</v>
      </c>
    </row>
    <row r="10" spans="1:11" ht="257.25" customHeight="1">
      <c r="A10" s="13" t="s">
        <v>23</v>
      </c>
      <c r="B10" s="14" t="s">
        <v>24</v>
      </c>
      <c r="C10" s="6" t="s">
        <v>19</v>
      </c>
      <c r="D10" s="15">
        <v>41640</v>
      </c>
      <c r="E10" s="15">
        <v>44196</v>
      </c>
      <c r="F10" s="6"/>
      <c r="G10" s="6"/>
      <c r="H10" s="6"/>
      <c r="I10" s="14" t="s">
        <v>25</v>
      </c>
      <c r="J10" s="14" t="s">
        <v>26</v>
      </c>
      <c r="K10" s="14" t="s">
        <v>27</v>
      </c>
    </row>
    <row r="11" spans="1:11" ht="169.5" customHeight="1">
      <c r="A11" s="13" t="s">
        <v>28</v>
      </c>
      <c r="B11" s="14" t="s">
        <v>29</v>
      </c>
      <c r="C11" s="6" t="s">
        <v>19</v>
      </c>
      <c r="D11" s="15">
        <v>41640</v>
      </c>
      <c r="E11" s="15">
        <v>44196</v>
      </c>
      <c r="F11" s="6"/>
      <c r="G11" s="6"/>
      <c r="H11" s="6"/>
      <c r="I11" s="14" t="s">
        <v>30</v>
      </c>
      <c r="J11" s="14" t="s">
        <v>31</v>
      </c>
      <c r="K11" s="14" t="s">
        <v>32</v>
      </c>
    </row>
    <row r="12" spans="1:11" ht="254.25" customHeight="1">
      <c r="A12" s="13" t="s">
        <v>33</v>
      </c>
      <c r="B12" s="14" t="s">
        <v>34</v>
      </c>
      <c r="C12" s="6" t="s">
        <v>19</v>
      </c>
      <c r="D12" s="15">
        <v>41640</v>
      </c>
      <c r="E12" s="15">
        <v>44196</v>
      </c>
      <c r="F12" s="17">
        <f>ROUND(64310/1000,1)</f>
        <v>64.3</v>
      </c>
      <c r="G12" s="17">
        <f>ROUND(64310/1000,1)</f>
        <v>64.3</v>
      </c>
      <c r="H12" s="17">
        <f>ROUND(64310/1000,1)</f>
        <v>64.3</v>
      </c>
      <c r="I12" s="14" t="s">
        <v>35</v>
      </c>
      <c r="J12" s="14" t="s">
        <v>36</v>
      </c>
      <c r="K12" s="14" t="s">
        <v>37</v>
      </c>
    </row>
    <row r="13" spans="1:71" s="18" customFormat="1" ht="26.25" customHeight="1">
      <c r="A13" s="12" t="s">
        <v>38</v>
      </c>
      <c r="B13" s="12"/>
      <c r="C13" s="12"/>
      <c r="D13" s="12"/>
      <c r="E13" s="12"/>
      <c r="F13" s="12"/>
      <c r="G13" s="12"/>
      <c r="H13" s="12"/>
      <c r="I13" s="12"/>
      <c r="J13" s="12"/>
      <c r="K13" s="12"/>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1:11" ht="167.25" customHeight="1">
      <c r="A14" s="13" t="s">
        <v>39</v>
      </c>
      <c r="B14" s="14" t="s">
        <v>40</v>
      </c>
      <c r="C14" s="6" t="s">
        <v>19</v>
      </c>
      <c r="D14" s="15">
        <v>41640</v>
      </c>
      <c r="E14" s="15">
        <v>44196</v>
      </c>
      <c r="F14" s="17">
        <f>ROUND(156000000/1000,1)</f>
        <v>156000</v>
      </c>
      <c r="G14" s="17">
        <f>ROUND(156000000/1000,1)</f>
        <v>156000</v>
      </c>
      <c r="H14" s="17">
        <f>ROUND(156000000/1000,1)</f>
        <v>156000</v>
      </c>
      <c r="I14" s="14" t="s">
        <v>41</v>
      </c>
      <c r="J14" s="14" t="s">
        <v>42</v>
      </c>
      <c r="K14" s="14" t="s">
        <v>43</v>
      </c>
    </row>
    <row r="15" spans="1:11" ht="186" customHeight="1">
      <c r="A15" s="13" t="s">
        <v>44</v>
      </c>
      <c r="B15" s="14" t="s">
        <v>45</v>
      </c>
      <c r="C15" s="6" t="s">
        <v>19</v>
      </c>
      <c r="D15" s="15">
        <v>41640</v>
      </c>
      <c r="E15" s="15">
        <v>44196</v>
      </c>
      <c r="F15" s="17"/>
      <c r="G15" s="17"/>
      <c r="H15" s="17"/>
      <c r="I15" s="14" t="s">
        <v>46</v>
      </c>
      <c r="J15" s="14" t="s">
        <v>47</v>
      </c>
      <c r="K15" s="14" t="s">
        <v>48</v>
      </c>
    </row>
    <row r="16" spans="1:11" ht="162" customHeight="1">
      <c r="A16" s="13" t="s">
        <v>49</v>
      </c>
      <c r="B16" s="14" t="s">
        <v>50</v>
      </c>
      <c r="C16" s="6" t="s">
        <v>19</v>
      </c>
      <c r="D16" s="15">
        <v>41640</v>
      </c>
      <c r="E16" s="15">
        <v>44196</v>
      </c>
      <c r="F16" s="17"/>
      <c r="G16" s="17"/>
      <c r="H16" s="17"/>
      <c r="I16" s="14" t="s">
        <v>41</v>
      </c>
      <c r="J16" s="14" t="s">
        <v>47</v>
      </c>
      <c r="K16" s="14" t="s">
        <v>43</v>
      </c>
    </row>
    <row r="17" spans="1:11" ht="186" customHeight="1">
      <c r="A17" s="13" t="s">
        <v>51</v>
      </c>
      <c r="B17" s="16" t="s">
        <v>52</v>
      </c>
      <c r="C17" s="6" t="s">
        <v>19</v>
      </c>
      <c r="D17" s="15">
        <v>41640</v>
      </c>
      <c r="E17" s="15">
        <v>44196</v>
      </c>
      <c r="F17" s="17">
        <f>ROUND(649567578/1000,1)</f>
        <v>649567.6</v>
      </c>
      <c r="G17" s="17">
        <f>ROUND(655395655/1000,1)</f>
        <v>655395.7</v>
      </c>
      <c r="H17" s="17">
        <f>ROUND(661320687/1000,1)</f>
        <v>661320.7</v>
      </c>
      <c r="I17" s="14" t="s">
        <v>53</v>
      </c>
      <c r="J17" s="14" t="s">
        <v>42</v>
      </c>
      <c r="K17" s="14" t="s">
        <v>54</v>
      </c>
    </row>
    <row r="18" spans="1:11" ht="162" customHeight="1">
      <c r="A18" s="13" t="s">
        <v>55</v>
      </c>
      <c r="B18" s="14" t="s">
        <v>56</v>
      </c>
      <c r="C18" s="6" t="s">
        <v>19</v>
      </c>
      <c r="D18" s="15">
        <v>41640</v>
      </c>
      <c r="E18" s="15">
        <v>44196</v>
      </c>
      <c r="F18" s="17"/>
      <c r="G18" s="17"/>
      <c r="H18" s="17"/>
      <c r="I18" s="14" t="s">
        <v>41</v>
      </c>
      <c r="J18" s="14" t="s">
        <v>42</v>
      </c>
      <c r="K18" s="14" t="s">
        <v>43</v>
      </c>
    </row>
    <row r="19" spans="1:11" ht="139.5" customHeight="1">
      <c r="A19" s="13" t="s">
        <v>57</v>
      </c>
      <c r="B19" s="14" t="s">
        <v>58</v>
      </c>
      <c r="C19" s="6" t="s">
        <v>19</v>
      </c>
      <c r="D19" s="15">
        <v>41640</v>
      </c>
      <c r="E19" s="15">
        <v>44196</v>
      </c>
      <c r="F19" s="17"/>
      <c r="G19" s="17"/>
      <c r="H19" s="17"/>
      <c r="I19" s="14" t="s">
        <v>41</v>
      </c>
      <c r="J19" s="14" t="s">
        <v>42</v>
      </c>
      <c r="K19" s="14" t="s">
        <v>43</v>
      </c>
    </row>
    <row r="20" spans="1:11" ht="141" customHeight="1">
      <c r="A20" s="13" t="s">
        <v>59</v>
      </c>
      <c r="B20" s="14" t="s">
        <v>60</v>
      </c>
      <c r="C20" s="6" t="s">
        <v>19</v>
      </c>
      <c r="D20" s="15">
        <v>41640</v>
      </c>
      <c r="E20" s="15">
        <v>44196</v>
      </c>
      <c r="F20" s="17"/>
      <c r="G20" s="17"/>
      <c r="H20" s="17"/>
      <c r="I20" s="14" t="s">
        <v>61</v>
      </c>
      <c r="J20" s="14" t="s">
        <v>42</v>
      </c>
      <c r="K20" s="14" t="s">
        <v>62</v>
      </c>
    </row>
    <row r="21" spans="1:11" ht="195" customHeight="1">
      <c r="A21" s="13" t="s">
        <v>63</v>
      </c>
      <c r="B21" s="14" t="s">
        <v>64</v>
      </c>
      <c r="C21" s="6" t="s">
        <v>19</v>
      </c>
      <c r="D21" s="15">
        <v>41640</v>
      </c>
      <c r="E21" s="15">
        <v>44196</v>
      </c>
      <c r="F21" s="17"/>
      <c r="G21" s="17"/>
      <c r="H21" s="17"/>
      <c r="I21" s="14" t="s">
        <v>65</v>
      </c>
      <c r="J21" s="14" t="s">
        <v>31</v>
      </c>
      <c r="K21" s="14" t="s">
        <v>66</v>
      </c>
    </row>
    <row r="22" spans="1:11" ht="186" customHeight="1">
      <c r="A22" s="13" t="s">
        <v>67</v>
      </c>
      <c r="B22" s="14" t="s">
        <v>68</v>
      </c>
      <c r="C22" s="6" t="s">
        <v>19</v>
      </c>
      <c r="D22" s="15">
        <v>41640</v>
      </c>
      <c r="E22" s="15">
        <v>44196</v>
      </c>
      <c r="F22" s="17">
        <f>ROUND(146708309/1000,1)+1500</f>
        <v>148208.3</v>
      </c>
      <c r="G22" s="17">
        <f>ROUND(148707309/1000,1)</f>
        <v>148707.3</v>
      </c>
      <c r="H22" s="17">
        <f>ROUND(148707309/1000,1)</f>
        <v>148707.3</v>
      </c>
      <c r="I22" s="14" t="s">
        <v>69</v>
      </c>
      <c r="J22" s="14" t="s">
        <v>42</v>
      </c>
      <c r="K22" s="14" t="s">
        <v>70</v>
      </c>
    </row>
    <row r="23" spans="1:11" ht="247.5" customHeight="1">
      <c r="A23" s="13" t="s">
        <v>71</v>
      </c>
      <c r="B23" s="14" t="s">
        <v>72</v>
      </c>
      <c r="C23" s="6" t="s">
        <v>73</v>
      </c>
      <c r="D23" s="15">
        <v>41640</v>
      </c>
      <c r="E23" s="15">
        <v>44196</v>
      </c>
      <c r="F23" s="17">
        <f>'[1]Таблица 7а'!$J$12</f>
        <v>50000</v>
      </c>
      <c r="G23" s="17">
        <f>'[1]Таблица 7а'!$K$12</f>
        <v>100000</v>
      </c>
      <c r="H23" s="17">
        <f>'[1]Таблица 7а'!$L$12</f>
        <v>100000</v>
      </c>
      <c r="I23" s="14" t="s">
        <v>74</v>
      </c>
      <c r="J23" s="14" t="s">
        <v>42</v>
      </c>
      <c r="K23" s="14" t="s">
        <v>75</v>
      </c>
    </row>
    <row r="24" spans="1:11" ht="23.25" customHeight="1">
      <c r="A24" s="12" t="s">
        <v>76</v>
      </c>
      <c r="B24" s="12"/>
      <c r="C24" s="12"/>
      <c r="D24" s="12"/>
      <c r="E24" s="12"/>
      <c r="F24" s="12"/>
      <c r="G24" s="12"/>
      <c r="H24" s="12"/>
      <c r="I24" s="12"/>
      <c r="J24" s="12"/>
      <c r="K24" s="12"/>
    </row>
    <row r="25" spans="1:11" ht="320.25" customHeight="1">
      <c r="A25" s="13" t="s">
        <v>77</v>
      </c>
      <c r="B25" s="14" t="s">
        <v>78</v>
      </c>
      <c r="C25" s="6" t="s">
        <v>19</v>
      </c>
      <c r="D25" s="15">
        <v>41640</v>
      </c>
      <c r="E25" s="15">
        <v>44196</v>
      </c>
      <c r="F25" s="17">
        <f>ROUND(15000000/1000,1)</f>
        <v>15000</v>
      </c>
      <c r="G25" s="17">
        <f>ROUND(15000000/1000,1)</f>
        <v>15000</v>
      </c>
      <c r="H25" s="17">
        <f>ROUND(15000000/1000,1)</f>
        <v>15000</v>
      </c>
      <c r="I25" s="14" t="s">
        <v>79</v>
      </c>
      <c r="J25" s="14" t="s">
        <v>80</v>
      </c>
      <c r="K25" s="14" t="s">
        <v>81</v>
      </c>
    </row>
    <row r="26" spans="1:11" ht="108.75" customHeight="1">
      <c r="A26" s="13" t="s">
        <v>82</v>
      </c>
      <c r="B26" s="14" t="s">
        <v>83</v>
      </c>
      <c r="C26" s="6" t="s">
        <v>19</v>
      </c>
      <c r="D26" s="15">
        <v>41640</v>
      </c>
      <c r="E26" s="15">
        <v>44196</v>
      </c>
      <c r="F26" s="17">
        <f>ROUND(22788909/1000,1)</f>
        <v>22788.9</v>
      </c>
      <c r="G26" s="17">
        <f>ROUND(22788909/1000,1)</f>
        <v>22788.9</v>
      </c>
      <c r="H26" s="17">
        <f>ROUND(22788909/1000,1)</f>
        <v>22788.9</v>
      </c>
      <c r="I26" s="14" t="s">
        <v>84</v>
      </c>
      <c r="J26" s="14" t="s">
        <v>85</v>
      </c>
      <c r="K26" s="14" t="s">
        <v>86</v>
      </c>
    </row>
    <row r="27" spans="1:11" ht="348.75" customHeight="1">
      <c r="A27" s="13" t="s">
        <v>87</v>
      </c>
      <c r="B27" s="14" t="s">
        <v>88</v>
      </c>
      <c r="C27" s="6" t="s">
        <v>19</v>
      </c>
      <c r="D27" s="15">
        <v>41640</v>
      </c>
      <c r="E27" s="15">
        <v>44196</v>
      </c>
      <c r="F27" s="6"/>
      <c r="G27" s="6"/>
      <c r="H27" s="6"/>
      <c r="I27" s="14" t="s">
        <v>79</v>
      </c>
      <c r="J27" s="19" t="s">
        <v>80</v>
      </c>
      <c r="K27" s="14" t="s">
        <v>81</v>
      </c>
    </row>
    <row r="28" spans="1:11" ht="27.75" customHeight="1">
      <c r="A28" s="12" t="s">
        <v>89</v>
      </c>
      <c r="B28" s="12"/>
      <c r="C28" s="12"/>
      <c r="D28" s="12"/>
      <c r="E28" s="12"/>
      <c r="F28" s="12"/>
      <c r="G28" s="12"/>
      <c r="H28" s="12"/>
      <c r="I28" s="12"/>
      <c r="J28" s="12"/>
      <c r="K28" s="12"/>
    </row>
    <row r="29" spans="1:11" ht="78.75" customHeight="1">
      <c r="A29" s="13" t="s">
        <v>90</v>
      </c>
      <c r="B29" s="14" t="s">
        <v>91</v>
      </c>
      <c r="C29" s="6" t="s">
        <v>19</v>
      </c>
      <c r="D29" s="15">
        <v>41640</v>
      </c>
      <c r="E29" s="15">
        <v>44196</v>
      </c>
      <c r="F29" s="6"/>
      <c r="G29" s="6"/>
      <c r="H29" s="6"/>
      <c r="I29" s="14" t="s">
        <v>92</v>
      </c>
      <c r="J29" s="14" t="s">
        <v>31</v>
      </c>
      <c r="K29" s="14" t="s">
        <v>93</v>
      </c>
    </row>
    <row r="30" spans="1:11" ht="84" customHeight="1">
      <c r="A30" s="13" t="s">
        <v>94</v>
      </c>
      <c r="B30" s="14" t="s">
        <v>95</v>
      </c>
      <c r="C30" s="6" t="s">
        <v>19</v>
      </c>
      <c r="D30" s="15">
        <v>41640</v>
      </c>
      <c r="E30" s="15">
        <v>44196</v>
      </c>
      <c r="F30" s="6"/>
      <c r="G30" s="6"/>
      <c r="H30" s="6"/>
      <c r="I30" s="14" t="s">
        <v>92</v>
      </c>
      <c r="J30" s="14" t="s">
        <v>31</v>
      </c>
      <c r="K30" s="14" t="s">
        <v>93</v>
      </c>
    </row>
    <row r="31" spans="1:11" ht="84.75" customHeight="1">
      <c r="A31" s="13" t="s">
        <v>96</v>
      </c>
      <c r="B31" s="14" t="s">
        <v>97</v>
      </c>
      <c r="C31" s="6" t="s">
        <v>19</v>
      </c>
      <c r="D31" s="15">
        <v>41640</v>
      </c>
      <c r="E31" s="15">
        <v>44196</v>
      </c>
      <c r="F31" s="6"/>
      <c r="G31" s="6"/>
      <c r="H31" s="6"/>
      <c r="I31" s="14" t="s">
        <v>92</v>
      </c>
      <c r="J31" s="14" t="s">
        <v>31</v>
      </c>
      <c r="K31" s="14" t="s">
        <v>93</v>
      </c>
    </row>
    <row r="32" spans="1:11" ht="78" customHeight="1">
      <c r="A32" s="13" t="s">
        <v>98</v>
      </c>
      <c r="B32" s="14" t="s">
        <v>99</v>
      </c>
      <c r="C32" s="6" t="s">
        <v>19</v>
      </c>
      <c r="D32" s="15">
        <v>41640</v>
      </c>
      <c r="E32" s="15">
        <v>44196</v>
      </c>
      <c r="F32" s="6"/>
      <c r="G32" s="6"/>
      <c r="H32" s="6"/>
      <c r="I32" s="14" t="s">
        <v>92</v>
      </c>
      <c r="J32" s="14" t="s">
        <v>31</v>
      </c>
      <c r="K32" s="14" t="s">
        <v>93</v>
      </c>
    </row>
    <row r="33" spans="1:11" ht="78.75" customHeight="1">
      <c r="A33" s="13" t="s">
        <v>100</v>
      </c>
      <c r="B33" s="14" t="s">
        <v>101</v>
      </c>
      <c r="C33" s="6" t="s">
        <v>19</v>
      </c>
      <c r="D33" s="15">
        <v>41640</v>
      </c>
      <c r="E33" s="15">
        <v>44196</v>
      </c>
      <c r="F33" s="6"/>
      <c r="G33" s="6"/>
      <c r="H33" s="6"/>
      <c r="I33" s="14" t="s">
        <v>92</v>
      </c>
      <c r="J33" s="14" t="s">
        <v>31</v>
      </c>
      <c r="K33" s="14" t="s">
        <v>93</v>
      </c>
    </row>
    <row r="34" spans="1:11" ht="84" customHeight="1">
      <c r="A34" s="13" t="s">
        <v>102</v>
      </c>
      <c r="B34" s="14" t="s">
        <v>103</v>
      </c>
      <c r="C34" s="6" t="s">
        <v>19</v>
      </c>
      <c r="D34" s="15">
        <v>41640</v>
      </c>
      <c r="E34" s="15">
        <v>44196</v>
      </c>
      <c r="F34" s="6"/>
      <c r="G34" s="6"/>
      <c r="H34" s="6"/>
      <c r="I34" s="14" t="s">
        <v>92</v>
      </c>
      <c r="J34" s="14" t="s">
        <v>31</v>
      </c>
      <c r="K34" s="14" t="s">
        <v>93</v>
      </c>
    </row>
    <row r="35" spans="1:11" s="21" customFormat="1" ht="41.25" customHeight="1">
      <c r="A35" s="20" t="s">
        <v>104</v>
      </c>
      <c r="B35" s="20"/>
      <c r="C35" s="20"/>
      <c r="D35" s="20"/>
      <c r="E35" s="20"/>
      <c r="F35" s="20"/>
      <c r="G35" s="20"/>
      <c r="H35" s="20"/>
      <c r="I35" s="20"/>
      <c r="J35" s="20"/>
      <c r="K35" s="20"/>
    </row>
    <row r="36" spans="1:11" ht="24.75" customHeight="1">
      <c r="A36" s="12" t="s">
        <v>105</v>
      </c>
      <c r="B36" s="12"/>
      <c r="C36" s="12"/>
      <c r="D36" s="12"/>
      <c r="E36" s="12"/>
      <c r="F36" s="12"/>
      <c r="G36" s="12"/>
      <c r="H36" s="12"/>
      <c r="I36" s="12"/>
      <c r="J36" s="12"/>
      <c r="K36" s="12"/>
    </row>
    <row r="37" spans="1:11" ht="105" customHeight="1">
      <c r="A37" s="13" t="s">
        <v>106</v>
      </c>
      <c r="B37" s="14" t="s">
        <v>107</v>
      </c>
      <c r="C37" s="6" t="s">
        <v>19</v>
      </c>
      <c r="D37" s="15">
        <v>41640</v>
      </c>
      <c r="E37" s="15">
        <v>44196</v>
      </c>
      <c r="F37" s="17"/>
      <c r="G37" s="17"/>
      <c r="H37" s="17"/>
      <c r="I37" s="14" t="s">
        <v>108</v>
      </c>
      <c r="J37" s="14" t="s">
        <v>109</v>
      </c>
      <c r="K37" s="14" t="s">
        <v>110</v>
      </c>
    </row>
    <row r="38" spans="1:11" ht="103.5" customHeight="1">
      <c r="A38" s="13" t="s">
        <v>111</v>
      </c>
      <c r="B38" s="14" t="s">
        <v>112</v>
      </c>
      <c r="C38" s="6" t="s">
        <v>19</v>
      </c>
      <c r="D38" s="15">
        <v>41640</v>
      </c>
      <c r="E38" s="15">
        <v>44196</v>
      </c>
      <c r="F38" s="17"/>
      <c r="G38" s="17"/>
      <c r="H38" s="17"/>
      <c r="I38" s="14" t="s">
        <v>108</v>
      </c>
      <c r="J38" s="14" t="s">
        <v>109</v>
      </c>
      <c r="K38" s="14" t="s">
        <v>110</v>
      </c>
    </row>
    <row r="39" spans="1:11" ht="107.25" customHeight="1">
      <c r="A39" s="13" t="s">
        <v>113</v>
      </c>
      <c r="B39" s="14" t="s">
        <v>114</v>
      </c>
      <c r="C39" s="6" t="s">
        <v>19</v>
      </c>
      <c r="D39" s="15">
        <v>41640</v>
      </c>
      <c r="E39" s="15">
        <v>44196</v>
      </c>
      <c r="F39" s="17">
        <f>ROUND(435976600/1000,1)</f>
        <v>435976.6</v>
      </c>
      <c r="G39" s="17">
        <f>ROUND(440544412/1000,1)</f>
        <v>440544.4</v>
      </c>
      <c r="H39" s="17">
        <f>ROUND(445188214/1000,1)</f>
        <v>445188.2</v>
      </c>
      <c r="I39" s="14" t="s">
        <v>108</v>
      </c>
      <c r="J39" s="14" t="s">
        <v>109</v>
      </c>
      <c r="K39" s="14" t="s">
        <v>110</v>
      </c>
    </row>
    <row r="40" spans="1:11" ht="94.5" customHeight="1">
      <c r="A40" s="13" t="s">
        <v>115</v>
      </c>
      <c r="B40" s="14" t="s">
        <v>116</v>
      </c>
      <c r="C40" s="6" t="s">
        <v>19</v>
      </c>
      <c r="D40" s="15">
        <v>41640</v>
      </c>
      <c r="E40" s="15">
        <v>44196</v>
      </c>
      <c r="F40" s="17">
        <f>ROUND(40534890/1000,1)</f>
        <v>40534.9</v>
      </c>
      <c r="G40" s="17">
        <f>ROUND(40534890/1000,1)</f>
        <v>40534.9</v>
      </c>
      <c r="H40" s="17">
        <f>ROUND(40534890/1000,1)</f>
        <v>40534.9</v>
      </c>
      <c r="I40" s="14" t="s">
        <v>108</v>
      </c>
      <c r="J40" s="14" t="s">
        <v>109</v>
      </c>
      <c r="K40" s="14" t="s">
        <v>110</v>
      </c>
    </row>
    <row r="41" spans="1:11" ht="83.25" customHeight="1">
      <c r="A41" s="13" t="s">
        <v>117</v>
      </c>
      <c r="B41" s="14" t="s">
        <v>118</v>
      </c>
      <c r="C41" s="6" t="s">
        <v>19</v>
      </c>
      <c r="D41" s="15">
        <v>41640</v>
      </c>
      <c r="E41" s="15">
        <v>44196</v>
      </c>
      <c r="F41" s="17"/>
      <c r="G41" s="17"/>
      <c r="H41" s="17"/>
      <c r="I41" s="14" t="s">
        <v>108</v>
      </c>
      <c r="J41" s="14" t="s">
        <v>109</v>
      </c>
      <c r="K41" s="14" t="s">
        <v>110</v>
      </c>
    </row>
    <row r="42" spans="1:11" ht="105" customHeight="1">
      <c r="A42" s="13" t="s">
        <v>119</v>
      </c>
      <c r="B42" s="22" t="s">
        <v>120</v>
      </c>
      <c r="C42" s="6" t="s">
        <v>19</v>
      </c>
      <c r="D42" s="15">
        <v>41640</v>
      </c>
      <c r="E42" s="15">
        <v>44196</v>
      </c>
      <c r="F42" s="17"/>
      <c r="G42" s="17"/>
      <c r="H42" s="17"/>
      <c r="I42" s="14" t="s">
        <v>108</v>
      </c>
      <c r="J42" s="14" t="s">
        <v>109</v>
      </c>
      <c r="K42" s="14" t="s">
        <v>110</v>
      </c>
    </row>
    <row r="43" spans="1:11" ht="26.25" customHeight="1">
      <c r="A43" s="23" t="s">
        <v>121</v>
      </c>
      <c r="B43" s="23"/>
      <c r="C43" s="23"/>
      <c r="D43" s="23"/>
      <c r="E43" s="23"/>
      <c r="F43" s="23"/>
      <c r="G43" s="23"/>
      <c r="H43" s="23"/>
      <c r="I43" s="23"/>
      <c r="J43" s="23"/>
      <c r="K43" s="23"/>
    </row>
    <row r="44" spans="1:11" ht="150" customHeight="1">
      <c r="A44" s="13" t="s">
        <v>122</v>
      </c>
      <c r="B44" s="14" t="s">
        <v>123</v>
      </c>
      <c r="C44" s="6" t="s">
        <v>19</v>
      </c>
      <c r="D44" s="15">
        <v>41640</v>
      </c>
      <c r="E44" s="15">
        <v>44196</v>
      </c>
      <c r="F44" s="17">
        <v>1028.6</v>
      </c>
      <c r="G44" s="17">
        <v>1028.6</v>
      </c>
      <c r="H44" s="17">
        <v>1028.6</v>
      </c>
      <c r="I44" s="14" t="s">
        <v>124</v>
      </c>
      <c r="J44" s="14" t="s">
        <v>109</v>
      </c>
      <c r="K44" s="14" t="s">
        <v>125</v>
      </c>
    </row>
    <row r="45" spans="1:11" ht="132" customHeight="1">
      <c r="A45" s="13" t="s">
        <v>126</v>
      </c>
      <c r="B45" s="22" t="s">
        <v>127</v>
      </c>
      <c r="C45" s="6" t="s">
        <v>19</v>
      </c>
      <c r="D45" s="15">
        <v>41640</v>
      </c>
      <c r="E45" s="15">
        <v>44196</v>
      </c>
      <c r="F45" s="17">
        <f>ROUND(27263276/1000,1)</f>
        <v>27263.3</v>
      </c>
      <c r="G45" s="17">
        <f>ROUND(27706107/1000,1)</f>
        <v>27706.1</v>
      </c>
      <c r="H45" s="17">
        <f>ROUND(28156304/1000,1)</f>
        <v>28156.3</v>
      </c>
      <c r="I45" s="14" t="s">
        <v>128</v>
      </c>
      <c r="J45" s="14" t="s">
        <v>109</v>
      </c>
      <c r="K45" s="14" t="s">
        <v>125</v>
      </c>
    </row>
    <row r="46" spans="1:11" ht="141.75" customHeight="1">
      <c r="A46" s="13" t="s">
        <v>129</v>
      </c>
      <c r="B46" s="14" t="s">
        <v>130</v>
      </c>
      <c r="C46" s="6" t="s">
        <v>19</v>
      </c>
      <c r="D46" s="15">
        <v>41640</v>
      </c>
      <c r="E46" s="15">
        <v>44196</v>
      </c>
      <c r="F46" s="17"/>
      <c r="G46" s="17"/>
      <c r="H46" s="17"/>
      <c r="I46" s="14" t="s">
        <v>128</v>
      </c>
      <c r="J46" s="14" t="s">
        <v>109</v>
      </c>
      <c r="K46" s="14" t="s">
        <v>125</v>
      </c>
    </row>
    <row r="47" spans="1:11" ht="162.75" customHeight="1">
      <c r="A47" s="13" t="s">
        <v>131</v>
      </c>
      <c r="B47" s="14" t="s">
        <v>132</v>
      </c>
      <c r="C47" s="6" t="s">
        <v>19</v>
      </c>
      <c r="D47" s="15">
        <v>41640</v>
      </c>
      <c r="E47" s="15">
        <v>44196</v>
      </c>
      <c r="F47" s="17">
        <f>ROUND(1949832/1000,1)</f>
        <v>1949.8</v>
      </c>
      <c r="G47" s="17">
        <f>ROUND(2057073/1000,1)</f>
        <v>2057.1</v>
      </c>
      <c r="H47" s="17">
        <f>ROUND(2166098/1000,1)</f>
        <v>2166.1</v>
      </c>
      <c r="I47" s="14" t="s">
        <v>128</v>
      </c>
      <c r="J47" s="14" t="s">
        <v>109</v>
      </c>
      <c r="K47" s="14" t="s">
        <v>125</v>
      </c>
    </row>
    <row r="48" spans="1:11" s="11" customFormat="1" ht="22.5" customHeight="1">
      <c r="A48" s="12" t="s">
        <v>133</v>
      </c>
      <c r="B48" s="12"/>
      <c r="C48" s="12"/>
      <c r="D48" s="12"/>
      <c r="E48" s="12"/>
      <c r="F48" s="12"/>
      <c r="G48" s="12"/>
      <c r="H48" s="12"/>
      <c r="I48" s="12"/>
      <c r="J48" s="12"/>
      <c r="K48" s="12"/>
    </row>
    <row r="49" spans="1:11" s="11" customFormat="1" ht="206.25" customHeight="1">
      <c r="A49" s="13" t="s">
        <v>134</v>
      </c>
      <c r="B49" s="22" t="s">
        <v>135</v>
      </c>
      <c r="C49" s="6" t="s">
        <v>19</v>
      </c>
      <c r="D49" s="15">
        <v>41640</v>
      </c>
      <c r="E49" s="15">
        <v>44196</v>
      </c>
      <c r="F49" s="17">
        <f>ROUND(650000/1000,2)</f>
        <v>650</v>
      </c>
      <c r="G49" s="17"/>
      <c r="H49" s="17"/>
      <c r="I49" s="14" t="s">
        <v>136</v>
      </c>
      <c r="J49" s="14" t="s">
        <v>109</v>
      </c>
      <c r="K49" s="14" t="s">
        <v>137</v>
      </c>
    </row>
    <row r="50" spans="1:11" s="11" customFormat="1" ht="206.25" customHeight="1">
      <c r="A50" s="13" t="s">
        <v>138</v>
      </c>
      <c r="B50" s="14" t="s">
        <v>139</v>
      </c>
      <c r="C50" s="6" t="s">
        <v>19</v>
      </c>
      <c r="D50" s="15">
        <v>41640</v>
      </c>
      <c r="E50" s="15">
        <v>44196</v>
      </c>
      <c r="F50" s="17">
        <f>ROUND(57228310/1000,1)</f>
        <v>57228.3</v>
      </c>
      <c r="G50" s="17">
        <f>ROUND(57830403/1000,1)</f>
        <v>57830.4</v>
      </c>
      <c r="H50" s="17">
        <f>ROUND(58442513/1000,1)</f>
        <v>58442.5</v>
      </c>
      <c r="I50" s="14" t="s">
        <v>140</v>
      </c>
      <c r="J50" s="14" t="s">
        <v>109</v>
      </c>
      <c r="K50" s="14" t="s">
        <v>137</v>
      </c>
    </row>
    <row r="51" spans="1:11" s="11" customFormat="1" ht="206.25" customHeight="1">
      <c r="A51" s="13" t="s">
        <v>141</v>
      </c>
      <c r="B51" s="14" t="s">
        <v>142</v>
      </c>
      <c r="C51" s="6" t="s">
        <v>19</v>
      </c>
      <c r="D51" s="15">
        <v>41640</v>
      </c>
      <c r="E51" s="15">
        <v>44196</v>
      </c>
      <c r="F51" s="17"/>
      <c r="G51" s="17"/>
      <c r="H51" s="17"/>
      <c r="I51" s="14" t="s">
        <v>136</v>
      </c>
      <c r="J51" s="14" t="s">
        <v>109</v>
      </c>
      <c r="K51" s="14" t="s">
        <v>137</v>
      </c>
    </row>
    <row r="52" spans="1:11" s="11" customFormat="1" ht="206.25" customHeight="1">
      <c r="A52" s="13" t="s">
        <v>143</v>
      </c>
      <c r="B52" s="14" t="s">
        <v>144</v>
      </c>
      <c r="C52" s="6" t="s">
        <v>19</v>
      </c>
      <c r="D52" s="15">
        <v>41640</v>
      </c>
      <c r="E52" s="15">
        <v>44196</v>
      </c>
      <c r="F52" s="17"/>
      <c r="G52" s="17"/>
      <c r="H52" s="17"/>
      <c r="I52" s="14" t="s">
        <v>136</v>
      </c>
      <c r="J52" s="14" t="s">
        <v>109</v>
      </c>
      <c r="K52" s="14" t="s">
        <v>137</v>
      </c>
    </row>
    <row r="53" spans="1:11" s="11" customFormat="1" ht="206.25" customHeight="1">
      <c r="A53" s="13" t="s">
        <v>145</v>
      </c>
      <c r="B53" s="14" t="s">
        <v>146</v>
      </c>
      <c r="C53" s="6" t="s">
        <v>19</v>
      </c>
      <c r="D53" s="15">
        <v>41640</v>
      </c>
      <c r="E53" s="15">
        <v>44196</v>
      </c>
      <c r="F53" s="17"/>
      <c r="G53" s="17"/>
      <c r="H53" s="17"/>
      <c r="I53" s="14" t="s">
        <v>136</v>
      </c>
      <c r="J53" s="14" t="s">
        <v>109</v>
      </c>
      <c r="K53" s="14" t="s">
        <v>137</v>
      </c>
    </row>
    <row r="54" spans="1:11" s="11" customFormat="1" ht="198.75" customHeight="1">
      <c r="A54" s="13" t="s">
        <v>147</v>
      </c>
      <c r="B54" s="14" t="s">
        <v>148</v>
      </c>
      <c r="C54" s="6" t="s">
        <v>19</v>
      </c>
      <c r="D54" s="15">
        <v>41640</v>
      </c>
      <c r="E54" s="15">
        <v>44196</v>
      </c>
      <c r="F54" s="17"/>
      <c r="G54" s="17"/>
      <c r="H54" s="17"/>
      <c r="I54" s="14" t="s">
        <v>136</v>
      </c>
      <c r="J54" s="14" t="s">
        <v>109</v>
      </c>
      <c r="K54" s="14" t="s">
        <v>137</v>
      </c>
    </row>
    <row r="55" spans="1:11" ht="24.75" customHeight="1">
      <c r="A55" s="12" t="s">
        <v>149</v>
      </c>
      <c r="B55" s="12"/>
      <c r="C55" s="12"/>
      <c r="D55" s="12"/>
      <c r="E55" s="12"/>
      <c r="F55" s="12"/>
      <c r="G55" s="12"/>
      <c r="H55" s="12"/>
      <c r="I55" s="12"/>
      <c r="J55" s="12"/>
      <c r="K55" s="12"/>
    </row>
    <row r="56" spans="1:11" ht="135.75" customHeight="1">
      <c r="A56" s="13" t="s">
        <v>150</v>
      </c>
      <c r="B56" s="14" t="s">
        <v>151</v>
      </c>
      <c r="C56" s="6" t="s">
        <v>19</v>
      </c>
      <c r="D56" s="15">
        <v>41640</v>
      </c>
      <c r="E56" s="15">
        <v>44196</v>
      </c>
      <c r="F56" s="17">
        <f>ROUND(15239313/1000,1)</f>
        <v>15239.3</v>
      </c>
      <c r="G56" s="17">
        <f>ROUND(15239313/1000,1)</f>
        <v>15239.3</v>
      </c>
      <c r="H56" s="17">
        <f>ROUND(15239313/1000,1)</f>
        <v>15239.3</v>
      </c>
      <c r="I56" s="14" t="s">
        <v>152</v>
      </c>
      <c r="J56" s="14" t="s">
        <v>109</v>
      </c>
      <c r="K56" s="14" t="s">
        <v>153</v>
      </c>
    </row>
    <row r="57" spans="1:11" ht="105" customHeight="1">
      <c r="A57" s="13" t="s">
        <v>154</v>
      </c>
      <c r="B57" s="14" t="s">
        <v>155</v>
      </c>
      <c r="C57" s="6" t="s">
        <v>19</v>
      </c>
      <c r="D57" s="15">
        <v>41640</v>
      </c>
      <c r="E57" s="15">
        <v>44196</v>
      </c>
      <c r="F57" s="17"/>
      <c r="G57" s="17"/>
      <c r="H57" s="17"/>
      <c r="I57" s="14" t="s">
        <v>156</v>
      </c>
      <c r="J57" s="14" t="s">
        <v>109</v>
      </c>
      <c r="K57" s="14" t="s">
        <v>153</v>
      </c>
    </row>
    <row r="58" spans="1:11" ht="105" customHeight="1">
      <c r="A58" s="13" t="s">
        <v>157</v>
      </c>
      <c r="B58" s="14" t="s">
        <v>158</v>
      </c>
      <c r="C58" s="6" t="s">
        <v>19</v>
      </c>
      <c r="D58" s="15">
        <v>41640</v>
      </c>
      <c r="E58" s="15">
        <v>44196</v>
      </c>
      <c r="F58" s="17">
        <f>ROUND(521288464/1000,1)</f>
        <v>521288.5</v>
      </c>
      <c r="G58" s="17">
        <f>ROUND(526023957/1000,1)</f>
        <v>526024</v>
      </c>
      <c r="H58" s="17">
        <f>ROUND(530838230/1000,1)</f>
        <v>530838.2</v>
      </c>
      <c r="I58" s="14" t="s">
        <v>152</v>
      </c>
      <c r="J58" s="14" t="s">
        <v>109</v>
      </c>
      <c r="K58" s="14" t="s">
        <v>153</v>
      </c>
    </row>
    <row r="59" spans="1:11" ht="105" customHeight="1">
      <c r="A59" s="13" t="s">
        <v>159</v>
      </c>
      <c r="B59" s="14" t="s">
        <v>160</v>
      </c>
      <c r="C59" s="6" t="s">
        <v>19</v>
      </c>
      <c r="D59" s="15">
        <v>41640</v>
      </c>
      <c r="E59" s="15">
        <v>44196</v>
      </c>
      <c r="F59" s="17"/>
      <c r="G59" s="17"/>
      <c r="H59" s="17"/>
      <c r="I59" s="14" t="s">
        <v>152</v>
      </c>
      <c r="J59" s="14" t="s">
        <v>109</v>
      </c>
      <c r="K59" s="14" t="s">
        <v>153</v>
      </c>
    </row>
    <row r="60" spans="1:11" ht="24.75" customHeight="1">
      <c r="A60" s="12" t="s">
        <v>161</v>
      </c>
      <c r="B60" s="12"/>
      <c r="C60" s="12"/>
      <c r="D60" s="12"/>
      <c r="E60" s="12"/>
      <c r="F60" s="12"/>
      <c r="G60" s="12"/>
      <c r="H60" s="12"/>
      <c r="I60" s="12"/>
      <c r="J60" s="12"/>
      <c r="K60" s="12"/>
    </row>
    <row r="61" spans="1:11" ht="124.5" customHeight="1">
      <c r="A61" s="13" t="s">
        <v>162</v>
      </c>
      <c r="B61" s="14" t="s">
        <v>163</v>
      </c>
      <c r="C61" s="6" t="s">
        <v>19</v>
      </c>
      <c r="D61" s="15">
        <v>41640</v>
      </c>
      <c r="E61" s="15">
        <v>44196</v>
      </c>
      <c r="F61" s="6"/>
      <c r="G61" s="6"/>
      <c r="H61" s="6"/>
      <c r="I61" s="14" t="s">
        <v>164</v>
      </c>
      <c r="J61" s="14" t="s">
        <v>165</v>
      </c>
      <c r="K61" s="14" t="s">
        <v>166</v>
      </c>
    </row>
    <row r="62" spans="1:11" ht="124.5" customHeight="1">
      <c r="A62" s="13" t="s">
        <v>167</v>
      </c>
      <c r="B62" s="14" t="s">
        <v>168</v>
      </c>
      <c r="C62" s="6" t="s">
        <v>19</v>
      </c>
      <c r="D62" s="15">
        <v>41640</v>
      </c>
      <c r="E62" s="15">
        <v>44196</v>
      </c>
      <c r="F62" s="6"/>
      <c r="G62" s="6"/>
      <c r="H62" s="6"/>
      <c r="I62" s="14" t="s">
        <v>169</v>
      </c>
      <c r="J62" s="14" t="s">
        <v>165</v>
      </c>
      <c r="K62" s="14" t="s">
        <v>166</v>
      </c>
    </row>
    <row r="63" spans="1:11" ht="124.5" customHeight="1">
      <c r="A63" s="13" t="s">
        <v>170</v>
      </c>
      <c r="B63" s="14" t="s">
        <v>171</v>
      </c>
      <c r="C63" s="6" t="s">
        <v>19</v>
      </c>
      <c r="D63" s="15">
        <v>41640</v>
      </c>
      <c r="E63" s="15">
        <v>44196</v>
      </c>
      <c r="F63" s="6"/>
      <c r="G63" s="6"/>
      <c r="H63" s="6"/>
      <c r="I63" s="14" t="s">
        <v>169</v>
      </c>
      <c r="J63" s="14" t="s">
        <v>165</v>
      </c>
      <c r="K63" s="14" t="s">
        <v>166</v>
      </c>
    </row>
    <row r="64" spans="1:11" ht="124.5" customHeight="1">
      <c r="A64" s="13" t="s">
        <v>172</v>
      </c>
      <c r="B64" s="14" t="s">
        <v>173</v>
      </c>
      <c r="C64" s="6" t="s">
        <v>19</v>
      </c>
      <c r="D64" s="15">
        <v>41640</v>
      </c>
      <c r="E64" s="15">
        <v>44196</v>
      </c>
      <c r="F64" s="6"/>
      <c r="G64" s="6"/>
      <c r="H64" s="6"/>
      <c r="I64" s="14" t="s">
        <v>169</v>
      </c>
      <c r="J64" s="14" t="s">
        <v>165</v>
      </c>
      <c r="K64" s="14" t="s">
        <v>166</v>
      </c>
    </row>
    <row r="65" spans="1:11" ht="184.5" customHeight="1">
      <c r="A65" s="13" t="s">
        <v>174</v>
      </c>
      <c r="B65" s="14" t="s">
        <v>175</v>
      </c>
      <c r="C65" s="6" t="s">
        <v>19</v>
      </c>
      <c r="D65" s="15">
        <v>41640</v>
      </c>
      <c r="E65" s="15">
        <v>44196</v>
      </c>
      <c r="F65" s="6"/>
      <c r="G65" s="6"/>
      <c r="H65" s="6"/>
      <c r="I65" s="14" t="s">
        <v>169</v>
      </c>
      <c r="J65" s="14" t="s">
        <v>176</v>
      </c>
      <c r="K65" s="14" t="s">
        <v>166</v>
      </c>
    </row>
    <row r="66" spans="1:11" ht="24.75" customHeight="1">
      <c r="A66" s="12" t="s">
        <v>177</v>
      </c>
      <c r="B66" s="12"/>
      <c r="C66" s="12"/>
      <c r="D66" s="12"/>
      <c r="E66" s="12"/>
      <c r="F66" s="12"/>
      <c r="G66" s="12"/>
      <c r="H66" s="12"/>
      <c r="I66" s="12"/>
      <c r="J66" s="12"/>
      <c r="K66" s="12"/>
    </row>
    <row r="67" spans="1:11" ht="157.5" customHeight="1">
      <c r="A67" s="13" t="s">
        <v>178</v>
      </c>
      <c r="B67" s="14" t="s">
        <v>179</v>
      </c>
      <c r="C67" s="6" t="s">
        <v>19</v>
      </c>
      <c r="D67" s="15">
        <v>41640</v>
      </c>
      <c r="E67" s="15">
        <v>44196</v>
      </c>
      <c r="F67" s="17"/>
      <c r="G67" s="17"/>
      <c r="H67" s="17"/>
      <c r="I67" s="14" t="s">
        <v>180</v>
      </c>
      <c r="J67" s="14" t="s">
        <v>181</v>
      </c>
      <c r="K67" s="14" t="s">
        <v>182</v>
      </c>
    </row>
    <row r="68" spans="1:11" ht="154.5" customHeight="1">
      <c r="A68" s="13" t="s">
        <v>183</v>
      </c>
      <c r="B68" s="14" t="s">
        <v>184</v>
      </c>
      <c r="C68" s="6" t="s">
        <v>19</v>
      </c>
      <c r="D68" s="15">
        <v>41640</v>
      </c>
      <c r="E68" s="15">
        <v>44196</v>
      </c>
      <c r="F68" s="17">
        <f>ROUND(2531225/1000,1)</f>
        <v>2531.2</v>
      </c>
      <c r="G68" s="17">
        <f>ROUND(2547218/1000,1)</f>
        <v>2547.2</v>
      </c>
      <c r="H68" s="17">
        <f>ROUND(2563476/1000,1)</f>
        <v>2563.5</v>
      </c>
      <c r="I68" s="14" t="s">
        <v>180</v>
      </c>
      <c r="J68" s="14" t="s">
        <v>181</v>
      </c>
      <c r="K68" s="14" t="s">
        <v>182</v>
      </c>
    </row>
    <row r="69" spans="1:11" ht="155.25" customHeight="1">
      <c r="A69" s="13" t="s">
        <v>185</v>
      </c>
      <c r="B69" s="14" t="s">
        <v>186</v>
      </c>
      <c r="C69" s="6" t="s">
        <v>19</v>
      </c>
      <c r="D69" s="15">
        <v>41640</v>
      </c>
      <c r="E69" s="15">
        <v>44196</v>
      </c>
      <c r="F69" s="17"/>
      <c r="G69" s="17"/>
      <c r="H69" s="17"/>
      <c r="I69" s="14" t="s">
        <v>180</v>
      </c>
      <c r="J69" s="14" t="s">
        <v>181</v>
      </c>
      <c r="K69" s="14" t="s">
        <v>182</v>
      </c>
    </row>
    <row r="70" spans="1:11" ht="153.75" customHeight="1">
      <c r="A70" s="13" t="s">
        <v>187</v>
      </c>
      <c r="B70" s="14" t="s">
        <v>188</v>
      </c>
      <c r="C70" s="6" t="s">
        <v>19</v>
      </c>
      <c r="D70" s="15">
        <v>41640</v>
      </c>
      <c r="E70" s="15">
        <v>44196</v>
      </c>
      <c r="F70" s="17"/>
      <c r="G70" s="17"/>
      <c r="H70" s="17"/>
      <c r="I70" s="14" t="s">
        <v>180</v>
      </c>
      <c r="J70" s="14" t="s">
        <v>181</v>
      </c>
      <c r="K70" s="14" t="s">
        <v>182</v>
      </c>
    </row>
    <row r="71" spans="1:11" ht="155.25" customHeight="1">
      <c r="A71" s="13" t="s">
        <v>189</v>
      </c>
      <c r="B71" s="14" t="s">
        <v>190</v>
      </c>
      <c r="C71" s="6" t="s">
        <v>19</v>
      </c>
      <c r="D71" s="15">
        <v>41640</v>
      </c>
      <c r="E71" s="15">
        <v>44196</v>
      </c>
      <c r="F71" s="17">
        <f>ROUND(4303103/1000,1)</f>
        <v>4303.1</v>
      </c>
      <c r="G71" s="17">
        <f>ROUND(4303103/1000,1)</f>
        <v>4303.1</v>
      </c>
      <c r="H71" s="17">
        <f>ROUND(4303103/1000,1)</f>
        <v>4303.1</v>
      </c>
      <c r="I71" s="14" t="s">
        <v>180</v>
      </c>
      <c r="J71" s="14" t="s">
        <v>191</v>
      </c>
      <c r="K71" s="14" t="s">
        <v>182</v>
      </c>
    </row>
    <row r="72" spans="1:11" ht="204" customHeight="1">
      <c r="A72" s="13" t="s">
        <v>192</v>
      </c>
      <c r="B72" s="24" t="s">
        <v>193</v>
      </c>
      <c r="C72" s="6" t="s">
        <v>73</v>
      </c>
      <c r="D72" s="15">
        <v>41640</v>
      </c>
      <c r="E72" s="15">
        <v>44196</v>
      </c>
      <c r="F72" s="17">
        <f>'[1]Таблица 7а'!$J$48</f>
        <v>100000</v>
      </c>
      <c r="G72" s="17">
        <f>'[1]Таблица 7а'!$K$48</f>
        <v>100000</v>
      </c>
      <c r="H72" s="17">
        <f>'[1]Таблица 7а'!$L$48</f>
        <v>24177.7</v>
      </c>
      <c r="I72" s="14" t="s">
        <v>194</v>
      </c>
      <c r="J72" s="14" t="s">
        <v>195</v>
      </c>
      <c r="K72" s="14" t="s">
        <v>196</v>
      </c>
    </row>
    <row r="73" spans="1:11" ht="36" customHeight="1">
      <c r="A73" s="12" t="s">
        <v>197</v>
      </c>
      <c r="B73" s="12"/>
      <c r="C73" s="12"/>
      <c r="D73" s="12"/>
      <c r="E73" s="12"/>
      <c r="F73" s="12"/>
      <c r="G73" s="12"/>
      <c r="H73" s="12"/>
      <c r="I73" s="12"/>
      <c r="J73" s="12"/>
      <c r="K73" s="12"/>
    </row>
    <row r="74" spans="1:11" ht="129" customHeight="1">
      <c r="A74" s="13" t="s">
        <v>198</v>
      </c>
      <c r="B74" s="14" t="s">
        <v>199</v>
      </c>
      <c r="C74" s="6" t="s">
        <v>19</v>
      </c>
      <c r="D74" s="15">
        <v>41640</v>
      </c>
      <c r="E74" s="15">
        <v>44196</v>
      </c>
      <c r="F74" s="17"/>
      <c r="G74" s="17"/>
      <c r="H74" s="17"/>
      <c r="I74" s="14" t="s">
        <v>200</v>
      </c>
      <c r="J74" s="14" t="s">
        <v>109</v>
      </c>
      <c r="K74" s="14" t="s">
        <v>201</v>
      </c>
    </row>
    <row r="75" spans="1:11" ht="129" customHeight="1">
      <c r="A75" s="13" t="s">
        <v>202</v>
      </c>
      <c r="B75" s="14" t="s">
        <v>203</v>
      </c>
      <c r="C75" s="6" t="s">
        <v>19</v>
      </c>
      <c r="D75" s="15">
        <v>41640</v>
      </c>
      <c r="E75" s="15">
        <v>44196</v>
      </c>
      <c r="F75" s="17">
        <f>ROUND(3833475/1000,1)</f>
        <v>3833.5</v>
      </c>
      <c r="G75" s="17">
        <f>ROUND(3833475/1000,1)</f>
        <v>3833.5</v>
      </c>
      <c r="H75" s="17">
        <f>ROUND(3833475/1000,1)</f>
        <v>3833.5</v>
      </c>
      <c r="I75" s="14" t="s">
        <v>200</v>
      </c>
      <c r="J75" s="14" t="s">
        <v>109</v>
      </c>
      <c r="K75" s="14" t="s">
        <v>201</v>
      </c>
    </row>
    <row r="76" spans="1:11" ht="129" customHeight="1">
      <c r="A76" s="13" t="s">
        <v>204</v>
      </c>
      <c r="B76" s="14" t="s">
        <v>205</v>
      </c>
      <c r="C76" s="6" t="s">
        <v>19</v>
      </c>
      <c r="D76" s="15">
        <v>41640</v>
      </c>
      <c r="E76" s="15">
        <v>44196</v>
      </c>
      <c r="F76" s="17">
        <f>ROUND(136515759/1000,1)</f>
        <v>136515.8</v>
      </c>
      <c r="G76" s="17">
        <f>ROUND(142620340/1000,1)</f>
        <v>142620.3</v>
      </c>
      <c r="H76" s="17">
        <f>ROUND(148826478/1000,1)</f>
        <v>148826.5</v>
      </c>
      <c r="I76" s="14" t="s">
        <v>200</v>
      </c>
      <c r="J76" s="14" t="s">
        <v>109</v>
      </c>
      <c r="K76" s="14" t="s">
        <v>201</v>
      </c>
    </row>
    <row r="77" spans="1:11" ht="129" customHeight="1">
      <c r="A77" s="13" t="s">
        <v>206</v>
      </c>
      <c r="B77" s="14" t="s">
        <v>207</v>
      </c>
      <c r="C77" s="6" t="s">
        <v>19</v>
      </c>
      <c r="D77" s="15">
        <v>41640</v>
      </c>
      <c r="E77" s="15">
        <v>44196</v>
      </c>
      <c r="F77" s="17">
        <f>ROUND(33021061/1000,1)-1500</f>
        <v>31521.1</v>
      </c>
      <c r="G77" s="17">
        <f>ROUND(31705761/1000,1)</f>
        <v>31705.8</v>
      </c>
      <c r="H77" s="17">
        <f>ROUND(32400761/1000,1)</f>
        <v>32400.8</v>
      </c>
      <c r="I77" s="14" t="s">
        <v>200</v>
      </c>
      <c r="J77" s="14" t="s">
        <v>109</v>
      </c>
      <c r="K77" s="14" t="s">
        <v>201</v>
      </c>
    </row>
    <row r="78" spans="1:11" ht="24.75" customHeight="1">
      <c r="A78" s="12" t="s">
        <v>208</v>
      </c>
      <c r="B78" s="12"/>
      <c r="C78" s="12"/>
      <c r="D78" s="12"/>
      <c r="E78" s="12"/>
      <c r="F78" s="12"/>
      <c r="G78" s="12"/>
      <c r="H78" s="12"/>
      <c r="I78" s="12"/>
      <c r="J78" s="12"/>
      <c r="K78" s="12"/>
    </row>
    <row r="79" spans="1:11" ht="126" customHeight="1">
      <c r="A79" s="13" t="s">
        <v>209</v>
      </c>
      <c r="B79" s="25" t="s">
        <v>210</v>
      </c>
      <c r="C79" s="6" t="s">
        <v>19</v>
      </c>
      <c r="D79" s="15">
        <v>41640</v>
      </c>
      <c r="E79" s="15">
        <v>44196</v>
      </c>
      <c r="F79" s="17"/>
      <c r="G79" s="17"/>
      <c r="H79" s="17"/>
      <c r="I79" s="14" t="s">
        <v>211</v>
      </c>
      <c r="J79" s="14" t="s">
        <v>109</v>
      </c>
      <c r="K79" s="14" t="s">
        <v>212</v>
      </c>
    </row>
    <row r="80" spans="1:11" ht="118.5" customHeight="1">
      <c r="A80" s="13" t="s">
        <v>213</v>
      </c>
      <c r="B80" s="22" t="s">
        <v>214</v>
      </c>
      <c r="C80" s="6" t="s">
        <v>19</v>
      </c>
      <c r="D80" s="15">
        <v>41640</v>
      </c>
      <c r="E80" s="15">
        <v>44196</v>
      </c>
      <c r="F80" s="17">
        <f>ROUND(600000/1000,1)</f>
        <v>600</v>
      </c>
      <c r="G80" s="17">
        <f>ROUND(1900000/1000,1)</f>
        <v>1900</v>
      </c>
      <c r="H80" s="17">
        <f>ROUND(1900000/1000,1)</f>
        <v>1900</v>
      </c>
      <c r="I80" s="14" t="s">
        <v>211</v>
      </c>
      <c r="J80" s="14" t="s">
        <v>109</v>
      </c>
      <c r="K80" s="14" t="s">
        <v>212</v>
      </c>
    </row>
    <row r="81" spans="1:11" ht="123.75" customHeight="1">
      <c r="A81" s="13" t="s">
        <v>215</v>
      </c>
      <c r="B81" s="14" t="s">
        <v>216</v>
      </c>
      <c r="C81" s="6" t="s">
        <v>19</v>
      </c>
      <c r="D81" s="15">
        <v>41640</v>
      </c>
      <c r="E81" s="15">
        <v>44196</v>
      </c>
      <c r="F81" s="17"/>
      <c r="G81" s="17"/>
      <c r="H81" s="17"/>
      <c r="I81" s="14" t="s">
        <v>211</v>
      </c>
      <c r="J81" s="14" t="s">
        <v>109</v>
      </c>
      <c r="K81" s="14" t="s">
        <v>212</v>
      </c>
    </row>
    <row r="82" spans="1:11" ht="154.5" customHeight="1">
      <c r="A82" s="13" t="s">
        <v>217</v>
      </c>
      <c r="B82" s="14" t="s">
        <v>218</v>
      </c>
      <c r="C82" s="6" t="s">
        <v>19</v>
      </c>
      <c r="D82" s="15">
        <v>41640</v>
      </c>
      <c r="E82" s="15">
        <v>44196</v>
      </c>
      <c r="F82" s="17">
        <f>ROUND(2198295/1000,1)</f>
        <v>2198.3</v>
      </c>
      <c r="G82" s="17">
        <f>ROUND(921774/1000,1)</f>
        <v>921.8</v>
      </c>
      <c r="H82" s="17">
        <f>ROUND(945644/1000,1)</f>
        <v>945.6</v>
      </c>
      <c r="I82" s="14" t="s">
        <v>211</v>
      </c>
      <c r="J82" s="14" t="s">
        <v>109</v>
      </c>
      <c r="K82" s="14" t="s">
        <v>212</v>
      </c>
    </row>
    <row r="83" spans="1:11" ht="33" customHeight="1">
      <c r="A83" s="12" t="s">
        <v>219</v>
      </c>
      <c r="B83" s="12"/>
      <c r="C83" s="12"/>
      <c r="D83" s="12"/>
      <c r="E83" s="12"/>
      <c r="F83" s="12"/>
      <c r="G83" s="12"/>
      <c r="H83" s="12"/>
      <c r="I83" s="12"/>
      <c r="J83" s="12"/>
      <c r="K83" s="12"/>
    </row>
    <row r="84" spans="1:11" ht="88.5" customHeight="1">
      <c r="A84" s="13" t="s">
        <v>220</v>
      </c>
      <c r="B84" s="14" t="s">
        <v>221</v>
      </c>
      <c r="C84" s="6" t="s">
        <v>19</v>
      </c>
      <c r="D84" s="15">
        <v>41640</v>
      </c>
      <c r="E84" s="15">
        <v>44196</v>
      </c>
      <c r="F84" s="17">
        <v>136219.4</v>
      </c>
      <c r="G84" s="17">
        <v>137148.7</v>
      </c>
      <c r="H84" s="17">
        <v>138093.5</v>
      </c>
      <c r="I84" s="14" t="s">
        <v>222</v>
      </c>
      <c r="J84" s="14" t="s">
        <v>109</v>
      </c>
      <c r="K84" s="14" t="s">
        <v>223</v>
      </c>
    </row>
    <row r="85" spans="1:11" ht="77.25" customHeight="1">
      <c r="A85" s="13" t="s">
        <v>224</v>
      </c>
      <c r="B85" s="14" t="s">
        <v>225</v>
      </c>
      <c r="C85" s="6" t="s">
        <v>19</v>
      </c>
      <c r="D85" s="15">
        <v>41640</v>
      </c>
      <c r="E85" s="15">
        <v>44196</v>
      </c>
      <c r="F85" s="17"/>
      <c r="G85" s="17"/>
      <c r="H85" s="17"/>
      <c r="I85" s="14" t="s">
        <v>222</v>
      </c>
      <c r="J85" s="14" t="s">
        <v>109</v>
      </c>
      <c r="K85" s="14" t="s">
        <v>223</v>
      </c>
    </row>
    <row r="86" spans="1:11" ht="88.5" customHeight="1">
      <c r="A86" s="13" t="s">
        <v>226</v>
      </c>
      <c r="B86" s="14" t="s">
        <v>227</v>
      </c>
      <c r="C86" s="6" t="s">
        <v>19</v>
      </c>
      <c r="D86" s="15">
        <v>41640</v>
      </c>
      <c r="E86" s="15">
        <v>44196</v>
      </c>
      <c r="F86" s="17">
        <f>ROUND(117447084/1000,1)</f>
        <v>117447.1</v>
      </c>
      <c r="G86" s="17">
        <f>ROUND(117297084/1000,1)</f>
        <v>117297.1</v>
      </c>
      <c r="H86" s="17">
        <f>ROUND(117297084/1000,1)</f>
        <v>117297.1</v>
      </c>
      <c r="I86" s="14" t="s">
        <v>222</v>
      </c>
      <c r="J86" s="14" t="s">
        <v>109</v>
      </c>
      <c r="K86" s="14" t="s">
        <v>223</v>
      </c>
    </row>
    <row r="87" spans="1:11" ht="86.25" customHeight="1">
      <c r="A87" s="13" t="s">
        <v>228</v>
      </c>
      <c r="B87" s="14" t="s">
        <v>229</v>
      </c>
      <c r="C87" s="6" t="s">
        <v>19</v>
      </c>
      <c r="D87" s="15">
        <v>41640</v>
      </c>
      <c r="E87" s="15">
        <v>44196</v>
      </c>
      <c r="F87" s="17"/>
      <c r="G87" s="17"/>
      <c r="H87" s="17"/>
      <c r="I87" s="14" t="s">
        <v>222</v>
      </c>
      <c r="J87" s="14" t="s">
        <v>230</v>
      </c>
      <c r="K87" s="14" t="s">
        <v>223</v>
      </c>
    </row>
    <row r="88" spans="1:11" ht="158.25" customHeight="1">
      <c r="A88" s="13" t="s">
        <v>231</v>
      </c>
      <c r="B88" s="14" t="s">
        <v>232</v>
      </c>
      <c r="C88" s="6" t="s">
        <v>73</v>
      </c>
      <c r="D88" s="15">
        <v>41640</v>
      </c>
      <c r="E88" s="15">
        <v>44196</v>
      </c>
      <c r="F88" s="17">
        <f>'[1]Таблица 7а'!$J$53+'[1]Таблица 7а'!$J$57+'[1]Таблица 7а'!$J$61</f>
        <v>127618</v>
      </c>
      <c r="G88" s="17">
        <f>'[1]Таблица 7а'!$K$53+'[1]Таблица 7а'!$K$57+'[1]Таблица 7а'!$K$61</f>
        <v>799500</v>
      </c>
      <c r="H88" s="17">
        <f>'[1]Таблица 7а'!$L$53+'[1]Таблица 7а'!$L$57+'[1]Таблица 7а'!$L$61</f>
        <v>704070</v>
      </c>
      <c r="I88" s="14" t="s">
        <v>233</v>
      </c>
      <c r="J88" s="14" t="s">
        <v>234</v>
      </c>
      <c r="K88" s="22" t="s">
        <v>235</v>
      </c>
    </row>
    <row r="89" spans="1:11" ht="24.75" customHeight="1">
      <c r="A89" s="12" t="s">
        <v>236</v>
      </c>
      <c r="B89" s="12"/>
      <c r="C89" s="12"/>
      <c r="D89" s="12"/>
      <c r="E89" s="12"/>
      <c r="F89" s="12"/>
      <c r="G89" s="12"/>
      <c r="H89" s="12"/>
      <c r="I89" s="12"/>
      <c r="J89" s="12"/>
      <c r="K89" s="12"/>
    </row>
    <row r="90" spans="1:11" ht="107.25" customHeight="1">
      <c r="A90" s="13" t="s">
        <v>237</v>
      </c>
      <c r="B90" s="14" t="s">
        <v>238</v>
      </c>
      <c r="C90" s="6" t="s">
        <v>19</v>
      </c>
      <c r="D90" s="15">
        <v>41640</v>
      </c>
      <c r="E90" s="15">
        <v>44196</v>
      </c>
      <c r="F90" s="17">
        <f>ROUND(267763339/1000,1)</f>
        <v>267763.3</v>
      </c>
      <c r="G90" s="17">
        <f>ROUND(276006072/1000,1)</f>
        <v>276006.1</v>
      </c>
      <c r="H90" s="17">
        <f>ROUND(284385937/1000,1)</f>
        <v>284385.9</v>
      </c>
      <c r="I90" s="14" t="s">
        <v>239</v>
      </c>
      <c r="J90" s="14" t="s">
        <v>109</v>
      </c>
      <c r="K90" s="14" t="s">
        <v>240</v>
      </c>
    </row>
    <row r="91" spans="1:11" ht="107.25" customHeight="1">
      <c r="A91" s="13" t="s">
        <v>241</v>
      </c>
      <c r="B91" s="14" t="s">
        <v>242</v>
      </c>
      <c r="C91" s="6" t="s">
        <v>19</v>
      </c>
      <c r="D91" s="15">
        <v>41640</v>
      </c>
      <c r="E91" s="15">
        <v>44196</v>
      </c>
      <c r="F91" s="17">
        <f>ROUND(4036100/1000,1)</f>
        <v>4036.1</v>
      </c>
      <c r="G91" s="17">
        <f>ROUND(4036100/1000,1)</f>
        <v>4036.1</v>
      </c>
      <c r="H91" s="17">
        <f>ROUND(4036100/1000,1)</f>
        <v>4036.1</v>
      </c>
      <c r="I91" s="14" t="s">
        <v>243</v>
      </c>
      <c r="J91" s="14" t="s">
        <v>109</v>
      </c>
      <c r="K91" s="14" t="s">
        <v>240</v>
      </c>
    </row>
    <row r="92" spans="1:11" ht="107.25" customHeight="1">
      <c r="A92" s="13" t="s">
        <v>244</v>
      </c>
      <c r="B92" s="14" t="s">
        <v>245</v>
      </c>
      <c r="C92" s="6" t="s">
        <v>19</v>
      </c>
      <c r="D92" s="15">
        <v>41640</v>
      </c>
      <c r="E92" s="15">
        <v>44196</v>
      </c>
      <c r="F92" s="17"/>
      <c r="G92" s="17"/>
      <c r="H92" s="17"/>
      <c r="I92" s="14" t="s">
        <v>243</v>
      </c>
      <c r="J92" s="14" t="s">
        <v>109</v>
      </c>
      <c r="K92" s="14" t="s">
        <v>240</v>
      </c>
    </row>
    <row r="93" spans="1:11" ht="107.25" customHeight="1">
      <c r="A93" s="13" t="s">
        <v>246</v>
      </c>
      <c r="B93" s="26" t="s">
        <v>247</v>
      </c>
      <c r="C93" s="6" t="s">
        <v>19</v>
      </c>
      <c r="D93" s="15">
        <v>41640</v>
      </c>
      <c r="E93" s="15">
        <v>44196</v>
      </c>
      <c r="F93" s="17"/>
      <c r="G93" s="17"/>
      <c r="H93" s="17"/>
      <c r="I93" s="14" t="s">
        <v>243</v>
      </c>
      <c r="J93" s="14" t="s">
        <v>109</v>
      </c>
      <c r="K93" s="14" t="s">
        <v>240</v>
      </c>
    </row>
    <row r="94" spans="1:11" ht="24.75" customHeight="1">
      <c r="A94" s="12" t="s">
        <v>248</v>
      </c>
      <c r="B94" s="12"/>
      <c r="C94" s="12"/>
      <c r="D94" s="12"/>
      <c r="E94" s="12"/>
      <c r="F94" s="12"/>
      <c r="G94" s="12"/>
      <c r="H94" s="12"/>
      <c r="I94" s="12"/>
      <c r="J94" s="12"/>
      <c r="K94" s="12"/>
    </row>
    <row r="95" spans="1:11" ht="119.25" customHeight="1">
      <c r="A95" s="13" t="s">
        <v>249</v>
      </c>
      <c r="B95" s="14" t="s">
        <v>250</v>
      </c>
      <c r="C95" s="6" t="s">
        <v>19</v>
      </c>
      <c r="D95" s="15">
        <v>41640</v>
      </c>
      <c r="E95" s="15">
        <v>44196</v>
      </c>
      <c r="F95" s="17">
        <f>ROUND(249547301/1000,1)</f>
        <v>249547.3</v>
      </c>
      <c r="G95" s="17">
        <f>ROUND(252775179/1000,1)</f>
        <v>252775.2</v>
      </c>
      <c r="H95" s="17">
        <f>ROUND(256056759/1000,1)</f>
        <v>256056.8</v>
      </c>
      <c r="I95" s="14" t="s">
        <v>251</v>
      </c>
      <c r="J95" s="14" t="s">
        <v>109</v>
      </c>
      <c r="K95" s="14" t="s">
        <v>252</v>
      </c>
    </row>
    <row r="96" spans="1:11" ht="119.25" customHeight="1">
      <c r="A96" s="13" t="s">
        <v>253</v>
      </c>
      <c r="B96" s="14" t="s">
        <v>254</v>
      </c>
      <c r="C96" s="6" t="s">
        <v>19</v>
      </c>
      <c r="D96" s="15">
        <v>41640</v>
      </c>
      <c r="E96" s="15">
        <v>44196</v>
      </c>
      <c r="F96" s="17"/>
      <c r="G96" s="17"/>
      <c r="H96" s="17"/>
      <c r="I96" s="14" t="s">
        <v>255</v>
      </c>
      <c r="J96" s="14" t="s">
        <v>109</v>
      </c>
      <c r="K96" s="14" t="s">
        <v>252</v>
      </c>
    </row>
    <row r="97" spans="1:11" ht="119.25" customHeight="1">
      <c r="A97" s="13" t="s">
        <v>256</v>
      </c>
      <c r="B97" s="14" t="s">
        <v>257</v>
      </c>
      <c r="C97" s="6" t="s">
        <v>19</v>
      </c>
      <c r="D97" s="15">
        <v>41640</v>
      </c>
      <c r="E97" s="15">
        <v>44196</v>
      </c>
      <c r="F97" s="17"/>
      <c r="G97" s="17"/>
      <c r="H97" s="17"/>
      <c r="I97" s="14" t="s">
        <v>255</v>
      </c>
      <c r="J97" s="14" t="s">
        <v>109</v>
      </c>
      <c r="K97" s="14" t="s">
        <v>252</v>
      </c>
    </row>
    <row r="98" spans="1:11" ht="119.25" customHeight="1">
      <c r="A98" s="13" t="s">
        <v>258</v>
      </c>
      <c r="B98" s="14" t="s">
        <v>259</v>
      </c>
      <c r="C98" s="6" t="s">
        <v>19</v>
      </c>
      <c r="D98" s="15">
        <v>41640</v>
      </c>
      <c r="E98" s="15">
        <v>44196</v>
      </c>
      <c r="F98" s="17">
        <f>ROUND(1705366/1000,1)</f>
        <v>1705.4</v>
      </c>
      <c r="G98" s="17">
        <f>ROUND(1705366/1000,1)</f>
        <v>1705.4</v>
      </c>
      <c r="H98" s="17">
        <f>ROUND(1705366/1000,1)</f>
        <v>1705.4</v>
      </c>
      <c r="I98" s="14" t="s">
        <v>255</v>
      </c>
      <c r="J98" s="14" t="s">
        <v>109</v>
      </c>
      <c r="K98" s="14" t="s">
        <v>252</v>
      </c>
    </row>
    <row r="99" spans="1:11" ht="119.25" customHeight="1">
      <c r="A99" s="13" t="s">
        <v>260</v>
      </c>
      <c r="B99" s="14" t="s">
        <v>261</v>
      </c>
      <c r="C99" s="6" t="s">
        <v>19</v>
      </c>
      <c r="D99" s="15">
        <v>41640</v>
      </c>
      <c r="E99" s="15">
        <v>44196</v>
      </c>
      <c r="F99" s="6"/>
      <c r="G99" s="6"/>
      <c r="H99" s="6"/>
      <c r="I99" s="14" t="s">
        <v>255</v>
      </c>
      <c r="J99" s="14" t="s">
        <v>109</v>
      </c>
      <c r="K99" s="14" t="s">
        <v>252</v>
      </c>
    </row>
    <row r="100" spans="1:11" s="21" customFormat="1" ht="25.5" customHeight="1">
      <c r="A100" s="27" t="s">
        <v>262</v>
      </c>
      <c r="B100" s="27"/>
      <c r="C100" s="27"/>
      <c r="D100" s="27"/>
      <c r="E100" s="27"/>
      <c r="F100" s="27"/>
      <c r="G100" s="27"/>
      <c r="H100" s="27"/>
      <c r="I100" s="27"/>
      <c r="J100" s="27"/>
      <c r="K100" s="27"/>
    </row>
    <row r="101" spans="1:11" ht="26.25" customHeight="1">
      <c r="A101" s="12" t="s">
        <v>263</v>
      </c>
      <c r="B101" s="12"/>
      <c r="C101" s="12"/>
      <c r="D101" s="12"/>
      <c r="E101" s="12"/>
      <c r="F101" s="12"/>
      <c r="G101" s="12"/>
      <c r="H101" s="12"/>
      <c r="I101" s="12"/>
      <c r="J101" s="12"/>
      <c r="K101" s="12"/>
    </row>
    <row r="102" spans="1:11" ht="104.25" customHeight="1">
      <c r="A102" s="13" t="s">
        <v>264</v>
      </c>
      <c r="B102" s="14" t="s">
        <v>265</v>
      </c>
      <c r="C102" s="6" t="s">
        <v>19</v>
      </c>
      <c r="D102" s="15">
        <v>41640</v>
      </c>
      <c r="E102" s="15">
        <v>44196</v>
      </c>
      <c r="F102" s="17"/>
      <c r="G102" s="17"/>
      <c r="H102" s="17"/>
      <c r="I102" s="14" t="s">
        <v>266</v>
      </c>
      <c r="J102" s="14" t="s">
        <v>267</v>
      </c>
      <c r="K102" s="14" t="s">
        <v>268</v>
      </c>
    </row>
    <row r="103" spans="1:11" ht="104.25" customHeight="1">
      <c r="A103" s="13" t="s">
        <v>269</v>
      </c>
      <c r="B103" s="14" t="s">
        <v>270</v>
      </c>
      <c r="C103" s="6" t="s">
        <v>19</v>
      </c>
      <c r="D103" s="15">
        <v>41640</v>
      </c>
      <c r="E103" s="15">
        <v>44196</v>
      </c>
      <c r="F103" s="17"/>
      <c r="G103" s="17"/>
      <c r="H103" s="17"/>
      <c r="I103" s="14" t="s">
        <v>266</v>
      </c>
      <c r="J103" s="14" t="s">
        <v>267</v>
      </c>
      <c r="K103" s="14" t="s">
        <v>268</v>
      </c>
    </row>
    <row r="104" spans="1:11" ht="104.25" customHeight="1">
      <c r="A104" s="13" t="s">
        <v>271</v>
      </c>
      <c r="B104" s="14" t="s">
        <v>272</v>
      </c>
      <c r="C104" s="6" t="s">
        <v>19</v>
      </c>
      <c r="D104" s="15">
        <v>41640</v>
      </c>
      <c r="E104" s="15">
        <v>44196</v>
      </c>
      <c r="F104" s="17"/>
      <c r="G104" s="17"/>
      <c r="H104" s="17"/>
      <c r="I104" s="14" t="s">
        <v>266</v>
      </c>
      <c r="J104" s="14" t="s">
        <v>267</v>
      </c>
      <c r="K104" s="14" t="s">
        <v>268</v>
      </c>
    </row>
    <row r="105" spans="1:11" ht="126.75" customHeight="1">
      <c r="A105" s="13" t="s">
        <v>273</v>
      </c>
      <c r="B105" s="14" t="s">
        <v>274</v>
      </c>
      <c r="C105" s="6" t="s">
        <v>19</v>
      </c>
      <c r="D105" s="15">
        <v>41640</v>
      </c>
      <c r="E105" s="15">
        <v>44196</v>
      </c>
      <c r="F105" s="17"/>
      <c r="G105" s="17"/>
      <c r="H105" s="17"/>
      <c r="I105" s="14" t="s">
        <v>275</v>
      </c>
      <c r="J105" s="14" t="s">
        <v>267</v>
      </c>
      <c r="K105" s="14" t="s">
        <v>276</v>
      </c>
    </row>
    <row r="106" spans="1:11" ht="126.75" customHeight="1">
      <c r="A106" s="13" t="s">
        <v>277</v>
      </c>
      <c r="B106" s="14" t="s">
        <v>278</v>
      </c>
      <c r="C106" s="6" t="s">
        <v>19</v>
      </c>
      <c r="D106" s="15">
        <v>41640</v>
      </c>
      <c r="E106" s="15">
        <v>44196</v>
      </c>
      <c r="F106" s="17"/>
      <c r="G106" s="17"/>
      <c r="H106" s="17"/>
      <c r="I106" s="14" t="s">
        <v>279</v>
      </c>
      <c r="J106" s="14" t="s">
        <v>267</v>
      </c>
      <c r="K106" s="14" t="s">
        <v>280</v>
      </c>
    </row>
    <row r="107" spans="1:11" ht="231.75" customHeight="1">
      <c r="A107" s="13" t="s">
        <v>281</v>
      </c>
      <c r="B107" s="14" t="s">
        <v>282</v>
      </c>
      <c r="C107" s="6" t="s">
        <v>19</v>
      </c>
      <c r="D107" s="15">
        <v>41640</v>
      </c>
      <c r="E107" s="15">
        <v>44196</v>
      </c>
      <c r="F107" s="17">
        <f>ROUND(46122909/1000,1)</f>
        <v>46122.9</v>
      </c>
      <c r="G107" s="17">
        <f>ROUND(46193972/1000,1)</f>
        <v>46194</v>
      </c>
      <c r="H107" s="17">
        <f>ROUND(46266218/1000,1)</f>
        <v>46266.2</v>
      </c>
      <c r="I107" s="14" t="s">
        <v>283</v>
      </c>
      <c r="J107" s="14" t="s">
        <v>267</v>
      </c>
      <c r="K107" s="14" t="s">
        <v>284</v>
      </c>
    </row>
    <row r="108" spans="1:11" ht="276" customHeight="1">
      <c r="A108" s="13" t="s">
        <v>285</v>
      </c>
      <c r="B108" s="14" t="s">
        <v>286</v>
      </c>
      <c r="C108" s="6" t="s">
        <v>73</v>
      </c>
      <c r="D108" s="15">
        <v>41640</v>
      </c>
      <c r="E108" s="15">
        <v>44196</v>
      </c>
      <c r="F108" s="17">
        <f>'[1]Таблица 7а'!$J$67</f>
        <v>16500</v>
      </c>
      <c r="G108" s="17">
        <v>0</v>
      </c>
      <c r="H108" s="17">
        <v>0</v>
      </c>
      <c r="I108" s="14" t="s">
        <v>287</v>
      </c>
      <c r="J108" s="14" t="s">
        <v>267</v>
      </c>
      <c r="K108" s="14" t="s">
        <v>288</v>
      </c>
    </row>
    <row r="109" spans="1:11" ht="30" customHeight="1">
      <c r="A109" s="12" t="s">
        <v>289</v>
      </c>
      <c r="B109" s="12"/>
      <c r="C109" s="12"/>
      <c r="D109" s="12"/>
      <c r="E109" s="12"/>
      <c r="F109" s="12"/>
      <c r="G109" s="12"/>
      <c r="H109" s="12"/>
      <c r="I109" s="12"/>
      <c r="J109" s="12"/>
      <c r="K109" s="12"/>
    </row>
    <row r="110" spans="1:11" ht="48" customHeight="1">
      <c r="A110" s="6" t="s">
        <v>290</v>
      </c>
      <c r="B110" s="14" t="s">
        <v>291</v>
      </c>
      <c r="C110" s="14" t="s">
        <v>19</v>
      </c>
      <c r="D110" s="15">
        <v>41640</v>
      </c>
      <c r="E110" s="15">
        <v>44196</v>
      </c>
      <c r="F110" s="17">
        <f>ROUND(721664/1000,1)</f>
        <v>721.7</v>
      </c>
      <c r="G110" s="17">
        <f>ROUND(776230/1000,1)</f>
        <v>776.2</v>
      </c>
      <c r="H110" s="17">
        <f>ROUND(776230/1000,1)</f>
        <v>776.2</v>
      </c>
      <c r="I110" s="14" t="s">
        <v>292</v>
      </c>
      <c r="J110" s="14" t="s">
        <v>109</v>
      </c>
      <c r="K110" s="14" t="s">
        <v>293</v>
      </c>
    </row>
    <row r="111" spans="1:11" ht="48" customHeight="1">
      <c r="A111" s="6"/>
      <c r="B111" s="14"/>
      <c r="C111" s="14"/>
      <c r="D111" s="15">
        <v>41640</v>
      </c>
      <c r="E111" s="15">
        <v>44196</v>
      </c>
      <c r="F111" s="17">
        <v>4812</v>
      </c>
      <c r="G111" s="17">
        <v>0</v>
      </c>
      <c r="H111" s="17">
        <v>0</v>
      </c>
      <c r="I111" s="14"/>
      <c r="J111" s="14"/>
      <c r="K111" s="14"/>
    </row>
    <row r="112" spans="1:11" ht="78.75" customHeight="1">
      <c r="A112" s="13" t="s">
        <v>294</v>
      </c>
      <c r="B112" s="14" t="s">
        <v>295</v>
      </c>
      <c r="C112" s="6" t="s">
        <v>19</v>
      </c>
      <c r="D112" s="15">
        <v>41640</v>
      </c>
      <c r="E112" s="15">
        <v>44196</v>
      </c>
      <c r="F112" s="17"/>
      <c r="G112" s="17"/>
      <c r="H112" s="17"/>
      <c r="I112" s="14" t="s">
        <v>292</v>
      </c>
      <c r="J112" s="14" t="s">
        <v>109</v>
      </c>
      <c r="K112" s="14" t="s">
        <v>293</v>
      </c>
    </row>
    <row r="113" spans="1:11" ht="96.75" customHeight="1">
      <c r="A113" s="6" t="s">
        <v>296</v>
      </c>
      <c r="B113" s="14" t="s">
        <v>297</v>
      </c>
      <c r="C113" s="14" t="s">
        <v>19</v>
      </c>
      <c r="D113" s="15">
        <v>41640</v>
      </c>
      <c r="E113" s="15">
        <v>44196</v>
      </c>
      <c r="F113" s="17">
        <f>ROUND(660000/1000,1)</f>
        <v>660</v>
      </c>
      <c r="G113" s="17">
        <f>ROUND(729036/1000,1)</f>
        <v>729</v>
      </c>
      <c r="H113" s="17">
        <f>ROUND(729036/1000,1)</f>
        <v>729</v>
      </c>
      <c r="I113" s="14" t="s">
        <v>298</v>
      </c>
      <c r="J113" s="14" t="s">
        <v>299</v>
      </c>
      <c r="K113" s="14" t="s">
        <v>300</v>
      </c>
    </row>
    <row r="114" spans="1:11" ht="33.75" customHeight="1">
      <c r="A114" s="6"/>
      <c r="B114" s="14"/>
      <c r="C114" s="14"/>
      <c r="D114" s="15">
        <v>41640</v>
      </c>
      <c r="E114" s="15">
        <v>44196</v>
      </c>
      <c r="F114" s="17">
        <v>4007.9</v>
      </c>
      <c r="G114" s="17">
        <v>0</v>
      </c>
      <c r="H114" s="17">
        <v>0</v>
      </c>
      <c r="I114" s="14"/>
      <c r="J114" s="14"/>
      <c r="K114" s="14"/>
    </row>
    <row r="115" spans="1:11" ht="125.25" customHeight="1">
      <c r="A115" s="13" t="s">
        <v>301</v>
      </c>
      <c r="B115" s="14" t="s">
        <v>302</v>
      </c>
      <c r="C115" s="6" t="s">
        <v>19</v>
      </c>
      <c r="D115" s="15">
        <v>41640</v>
      </c>
      <c r="E115" s="15">
        <v>44196</v>
      </c>
      <c r="F115" s="17"/>
      <c r="G115" s="17"/>
      <c r="H115" s="17"/>
      <c r="I115" s="14" t="s">
        <v>303</v>
      </c>
      <c r="J115" s="14" t="s">
        <v>304</v>
      </c>
      <c r="K115" s="14" t="s">
        <v>305</v>
      </c>
    </row>
    <row r="116" spans="1:11" ht="20.25" customHeight="1">
      <c r="A116" s="12" t="s">
        <v>306</v>
      </c>
      <c r="B116" s="12"/>
      <c r="C116" s="12"/>
      <c r="D116" s="12"/>
      <c r="E116" s="12"/>
      <c r="F116" s="12"/>
      <c r="G116" s="12"/>
      <c r="H116" s="12"/>
      <c r="I116" s="12"/>
      <c r="J116" s="12"/>
      <c r="K116" s="12"/>
    </row>
    <row r="117" spans="1:11" ht="132" customHeight="1">
      <c r="A117" s="13" t="s">
        <v>307</v>
      </c>
      <c r="B117" s="14" t="s">
        <v>308</v>
      </c>
      <c r="C117" s="6" t="s">
        <v>19</v>
      </c>
      <c r="D117" s="15">
        <v>41640</v>
      </c>
      <c r="E117" s="15">
        <v>44196</v>
      </c>
      <c r="F117" s="15"/>
      <c r="G117" s="15"/>
      <c r="H117" s="15"/>
      <c r="I117" s="14" t="s">
        <v>309</v>
      </c>
      <c r="J117" s="14" t="s">
        <v>310</v>
      </c>
      <c r="K117" s="14" t="s">
        <v>311</v>
      </c>
    </row>
    <row r="118" spans="1:11" ht="118.5" customHeight="1">
      <c r="A118" s="13" t="s">
        <v>312</v>
      </c>
      <c r="B118" s="14" t="s">
        <v>313</v>
      </c>
      <c r="C118" s="6" t="s">
        <v>19</v>
      </c>
      <c r="D118" s="15">
        <v>41640</v>
      </c>
      <c r="E118" s="15">
        <v>44196</v>
      </c>
      <c r="F118" s="15"/>
      <c r="G118" s="15"/>
      <c r="H118" s="15"/>
      <c r="I118" s="14" t="s">
        <v>314</v>
      </c>
      <c r="J118" s="14" t="s">
        <v>310</v>
      </c>
      <c r="K118" s="14" t="s">
        <v>315</v>
      </c>
    </row>
    <row r="119" spans="1:11" ht="110.25" customHeight="1">
      <c r="A119" s="13" t="s">
        <v>316</v>
      </c>
      <c r="B119" s="14" t="s">
        <v>317</v>
      </c>
      <c r="C119" s="6" t="s">
        <v>19</v>
      </c>
      <c r="D119" s="15">
        <v>41640</v>
      </c>
      <c r="E119" s="15">
        <v>44196</v>
      </c>
      <c r="F119" s="15"/>
      <c r="G119" s="15"/>
      <c r="H119" s="15"/>
      <c r="I119" s="14" t="s">
        <v>314</v>
      </c>
      <c r="J119" s="14" t="s">
        <v>267</v>
      </c>
      <c r="K119" s="14" t="s">
        <v>315</v>
      </c>
    </row>
    <row r="120" spans="1:11" ht="103.5" customHeight="1">
      <c r="A120" s="13" t="s">
        <v>318</v>
      </c>
      <c r="B120" s="14" t="s">
        <v>319</v>
      </c>
      <c r="C120" s="6" t="s">
        <v>73</v>
      </c>
      <c r="D120" s="15">
        <v>41640</v>
      </c>
      <c r="E120" s="15">
        <v>44196</v>
      </c>
      <c r="F120" s="15"/>
      <c r="G120" s="15"/>
      <c r="H120" s="15"/>
      <c r="I120" s="14" t="s">
        <v>320</v>
      </c>
      <c r="J120" s="14" t="s">
        <v>267</v>
      </c>
      <c r="K120" s="14" t="s">
        <v>321</v>
      </c>
    </row>
    <row r="121" spans="1:11" ht="26.25" customHeight="1">
      <c r="A121" s="12" t="s">
        <v>322</v>
      </c>
      <c r="B121" s="12"/>
      <c r="C121" s="12"/>
      <c r="D121" s="12"/>
      <c r="E121" s="12"/>
      <c r="F121" s="12"/>
      <c r="G121" s="12"/>
      <c r="H121" s="12"/>
      <c r="I121" s="12"/>
      <c r="J121" s="12"/>
      <c r="K121" s="12"/>
    </row>
    <row r="122" spans="1:11" ht="94.5" customHeight="1">
      <c r="A122" s="13" t="s">
        <v>323</v>
      </c>
      <c r="B122" s="14" t="s">
        <v>324</v>
      </c>
      <c r="C122" s="6" t="s">
        <v>19</v>
      </c>
      <c r="D122" s="15">
        <v>41640</v>
      </c>
      <c r="E122" s="15">
        <v>44196</v>
      </c>
      <c r="F122" s="17"/>
      <c r="G122" s="17"/>
      <c r="H122" s="17"/>
      <c r="I122" s="14" t="s">
        <v>325</v>
      </c>
      <c r="J122" s="14" t="s">
        <v>326</v>
      </c>
      <c r="K122" s="14" t="s">
        <v>327</v>
      </c>
    </row>
    <row r="123" spans="1:11" ht="98.25" customHeight="1">
      <c r="A123" s="13" t="s">
        <v>328</v>
      </c>
      <c r="B123" s="14" t="s">
        <v>329</v>
      </c>
      <c r="C123" s="6" t="s">
        <v>19</v>
      </c>
      <c r="D123" s="15">
        <v>41640</v>
      </c>
      <c r="E123" s="15">
        <v>44196</v>
      </c>
      <c r="F123" s="17"/>
      <c r="G123" s="17"/>
      <c r="H123" s="17"/>
      <c r="I123" s="14" t="s">
        <v>325</v>
      </c>
      <c r="J123" s="14" t="s">
        <v>326</v>
      </c>
      <c r="K123" s="14" t="s">
        <v>327</v>
      </c>
    </row>
    <row r="124" spans="1:11" ht="99" customHeight="1">
      <c r="A124" s="13" t="s">
        <v>330</v>
      </c>
      <c r="B124" s="14" t="s">
        <v>331</v>
      </c>
      <c r="C124" s="6" t="s">
        <v>19</v>
      </c>
      <c r="D124" s="15">
        <v>41640</v>
      </c>
      <c r="E124" s="15">
        <v>44196</v>
      </c>
      <c r="F124" s="17"/>
      <c r="G124" s="17"/>
      <c r="H124" s="17"/>
      <c r="I124" s="14" t="s">
        <v>332</v>
      </c>
      <c r="J124" s="14" t="s">
        <v>326</v>
      </c>
      <c r="K124" s="14" t="s">
        <v>327</v>
      </c>
    </row>
    <row r="125" spans="1:11" ht="137.25" customHeight="1">
      <c r="A125" s="13" t="s">
        <v>333</v>
      </c>
      <c r="B125" s="14" t="s">
        <v>334</v>
      </c>
      <c r="C125" s="6" t="s">
        <v>19</v>
      </c>
      <c r="D125" s="15">
        <v>41640</v>
      </c>
      <c r="E125" s="15">
        <v>44196</v>
      </c>
      <c r="F125" s="17"/>
      <c r="G125" s="17"/>
      <c r="H125" s="17"/>
      <c r="I125" s="14" t="s">
        <v>335</v>
      </c>
      <c r="J125" s="14" t="s">
        <v>326</v>
      </c>
      <c r="K125" s="14" t="s">
        <v>336</v>
      </c>
    </row>
    <row r="126" spans="1:11" ht="141.75" customHeight="1">
      <c r="A126" s="13" t="s">
        <v>337</v>
      </c>
      <c r="B126" s="14" t="s">
        <v>338</v>
      </c>
      <c r="C126" s="6" t="s">
        <v>19</v>
      </c>
      <c r="D126" s="15">
        <v>41640</v>
      </c>
      <c r="E126" s="15">
        <v>44196</v>
      </c>
      <c r="F126" s="17">
        <f>ROUND(21089842/1000,1)</f>
        <v>21089.8</v>
      </c>
      <c r="G126" s="17">
        <f>ROUND(21089842/1000,1)</f>
        <v>21089.8</v>
      </c>
      <c r="H126" s="17">
        <f>ROUND(21089842/1000,1)</f>
        <v>21089.8</v>
      </c>
      <c r="I126" s="14" t="s">
        <v>339</v>
      </c>
      <c r="J126" s="14" t="s">
        <v>326</v>
      </c>
      <c r="K126" s="14" t="s">
        <v>336</v>
      </c>
    </row>
    <row r="127" spans="1:11" ht="136.5" customHeight="1">
      <c r="A127" s="13" t="s">
        <v>340</v>
      </c>
      <c r="B127" s="14" t="s">
        <v>341</v>
      </c>
      <c r="C127" s="6" t="s">
        <v>19</v>
      </c>
      <c r="D127" s="15">
        <v>41640</v>
      </c>
      <c r="E127" s="15">
        <v>44196</v>
      </c>
      <c r="F127" s="17">
        <f>ROUND(52808734/1000,1)</f>
        <v>52808.7</v>
      </c>
      <c r="G127" s="17">
        <f>ROUND(53241905/1000,1)</f>
        <v>53241.9</v>
      </c>
      <c r="H127" s="17">
        <f>ROUND(53682282/1000,1)</f>
        <v>53682.3</v>
      </c>
      <c r="I127" s="14" t="s">
        <v>335</v>
      </c>
      <c r="J127" s="14" t="s">
        <v>326</v>
      </c>
      <c r="K127" s="14" t="s">
        <v>336</v>
      </c>
    </row>
    <row r="128" spans="1:11" ht="101.25" customHeight="1">
      <c r="A128" s="13" t="s">
        <v>342</v>
      </c>
      <c r="B128" s="14" t="s">
        <v>343</v>
      </c>
      <c r="C128" s="6" t="s">
        <v>19</v>
      </c>
      <c r="D128" s="15">
        <v>41640</v>
      </c>
      <c r="E128" s="15">
        <v>44196</v>
      </c>
      <c r="F128" s="17"/>
      <c r="G128" s="17"/>
      <c r="H128" s="17"/>
      <c r="I128" s="14" t="s">
        <v>344</v>
      </c>
      <c r="J128" s="14" t="s">
        <v>326</v>
      </c>
      <c r="K128" s="14" t="s">
        <v>345</v>
      </c>
    </row>
    <row r="129" spans="1:11" ht="144.75" customHeight="1">
      <c r="A129" s="13" t="s">
        <v>346</v>
      </c>
      <c r="B129" s="14" t="s">
        <v>347</v>
      </c>
      <c r="C129" s="6" t="s">
        <v>19</v>
      </c>
      <c r="D129" s="15">
        <v>41640</v>
      </c>
      <c r="E129" s="15">
        <v>44196</v>
      </c>
      <c r="F129" s="17"/>
      <c r="G129" s="17"/>
      <c r="H129" s="17"/>
      <c r="I129" s="14" t="s">
        <v>348</v>
      </c>
      <c r="J129" s="14" t="s">
        <v>326</v>
      </c>
      <c r="K129" s="14" t="s">
        <v>336</v>
      </c>
    </row>
    <row r="130" spans="1:11" ht="141.75" customHeight="1">
      <c r="A130" s="13" t="s">
        <v>349</v>
      </c>
      <c r="B130" s="14" t="s">
        <v>350</v>
      </c>
      <c r="C130" s="6" t="s">
        <v>19</v>
      </c>
      <c r="D130" s="15">
        <v>41640</v>
      </c>
      <c r="E130" s="15">
        <v>44196</v>
      </c>
      <c r="F130" s="17"/>
      <c r="G130" s="17"/>
      <c r="H130" s="17"/>
      <c r="I130" s="14" t="s">
        <v>335</v>
      </c>
      <c r="J130" s="14" t="s">
        <v>326</v>
      </c>
      <c r="K130" s="14" t="s">
        <v>336</v>
      </c>
    </row>
    <row r="131" spans="1:11" ht="105" customHeight="1">
      <c r="A131" s="13" t="s">
        <v>351</v>
      </c>
      <c r="B131" s="14" t="s">
        <v>352</v>
      </c>
      <c r="C131" s="6" t="s">
        <v>19</v>
      </c>
      <c r="D131" s="15">
        <v>41640</v>
      </c>
      <c r="E131" s="15">
        <v>44196</v>
      </c>
      <c r="F131" s="17">
        <f>ROUND(380160/1000,1)</f>
        <v>380.2</v>
      </c>
      <c r="G131" s="17">
        <f>ROUND(419925/1000,1)</f>
        <v>419.9</v>
      </c>
      <c r="H131" s="17">
        <f>ROUND(419925/1000,1)</f>
        <v>419.9</v>
      </c>
      <c r="I131" s="14" t="s">
        <v>353</v>
      </c>
      <c r="J131" s="14" t="s">
        <v>326</v>
      </c>
      <c r="K131" s="14" t="s">
        <v>354</v>
      </c>
    </row>
    <row r="132" spans="1:11" ht="105" customHeight="1">
      <c r="A132" s="13" t="s">
        <v>355</v>
      </c>
      <c r="B132" s="14" t="s">
        <v>356</v>
      </c>
      <c r="C132" s="6" t="s">
        <v>19</v>
      </c>
      <c r="D132" s="15">
        <v>41640</v>
      </c>
      <c r="E132" s="15">
        <v>44196</v>
      </c>
      <c r="F132" s="17"/>
      <c r="G132" s="17"/>
      <c r="H132" s="17"/>
      <c r="I132" s="14" t="s">
        <v>353</v>
      </c>
      <c r="J132" s="14" t="s">
        <v>326</v>
      </c>
      <c r="K132" s="14" t="s">
        <v>354</v>
      </c>
    </row>
    <row r="133" spans="1:11" ht="105" customHeight="1">
      <c r="A133" s="13" t="s">
        <v>357</v>
      </c>
      <c r="B133" s="14" t="s">
        <v>358</v>
      </c>
      <c r="C133" s="6" t="s">
        <v>19</v>
      </c>
      <c r="D133" s="15">
        <v>41640</v>
      </c>
      <c r="E133" s="15">
        <v>44196</v>
      </c>
      <c r="F133" s="17">
        <f>ROUND(206229551/1000,1)</f>
        <v>206229.6</v>
      </c>
      <c r="G133" s="17">
        <f>ROUND(207324264/1000,1)</f>
        <v>207324.3</v>
      </c>
      <c r="H133" s="17">
        <f>ROUND(208437193/1000,1)</f>
        <v>208437.2</v>
      </c>
      <c r="I133" s="14" t="s">
        <v>353</v>
      </c>
      <c r="J133" s="14" t="s">
        <v>326</v>
      </c>
      <c r="K133" s="14" t="s">
        <v>354</v>
      </c>
    </row>
    <row r="134" spans="1:11" ht="105" customHeight="1">
      <c r="A134" s="13" t="s">
        <v>359</v>
      </c>
      <c r="B134" s="14" t="s">
        <v>360</v>
      </c>
      <c r="C134" s="6" t="s">
        <v>19</v>
      </c>
      <c r="D134" s="15">
        <v>41640</v>
      </c>
      <c r="E134" s="15">
        <v>44196</v>
      </c>
      <c r="F134" s="17">
        <f>ROUND(375541913/1000,1)</f>
        <v>375541.9</v>
      </c>
      <c r="G134" s="17">
        <f>ROUND(376436825/1000,1)</f>
        <v>376436.8</v>
      </c>
      <c r="H134" s="17">
        <f>ROUND(377346622/1000,1)</f>
        <v>377346.6</v>
      </c>
      <c r="I134" s="14" t="s">
        <v>353</v>
      </c>
      <c r="J134" s="14" t="s">
        <v>326</v>
      </c>
      <c r="K134" s="14" t="s">
        <v>354</v>
      </c>
    </row>
    <row r="135" spans="1:11" ht="26.25" customHeight="1">
      <c r="A135" s="12" t="s">
        <v>361</v>
      </c>
      <c r="B135" s="12"/>
      <c r="C135" s="12"/>
      <c r="D135" s="12"/>
      <c r="E135" s="12"/>
      <c r="F135" s="12"/>
      <c r="G135" s="12"/>
      <c r="H135" s="12"/>
      <c r="I135" s="12"/>
      <c r="J135" s="12"/>
      <c r="K135" s="12"/>
    </row>
    <row r="136" spans="1:11" ht="122.25" customHeight="1">
      <c r="A136" s="13" t="s">
        <v>362</v>
      </c>
      <c r="B136" s="14" t="s">
        <v>363</v>
      </c>
      <c r="C136" s="6" t="s">
        <v>19</v>
      </c>
      <c r="D136" s="15">
        <v>41640</v>
      </c>
      <c r="E136" s="15">
        <v>44196</v>
      </c>
      <c r="F136" s="15"/>
      <c r="G136" s="15"/>
      <c r="H136" s="15"/>
      <c r="I136" s="14" t="s">
        <v>364</v>
      </c>
      <c r="J136" s="14" t="s">
        <v>109</v>
      </c>
      <c r="K136" s="14" t="s">
        <v>365</v>
      </c>
    </row>
    <row r="137" spans="1:11" ht="122.25" customHeight="1">
      <c r="A137" s="13" t="s">
        <v>366</v>
      </c>
      <c r="B137" s="14" t="s">
        <v>367</v>
      </c>
      <c r="C137" s="6" t="s">
        <v>19</v>
      </c>
      <c r="D137" s="15">
        <v>41640</v>
      </c>
      <c r="E137" s="15">
        <v>44196</v>
      </c>
      <c r="F137" s="15"/>
      <c r="G137" s="15"/>
      <c r="H137" s="15"/>
      <c r="I137" s="14" t="s">
        <v>368</v>
      </c>
      <c r="J137" s="14" t="s">
        <v>109</v>
      </c>
      <c r="K137" s="14" t="s">
        <v>365</v>
      </c>
    </row>
    <row r="138" spans="1:11" ht="122.25" customHeight="1">
      <c r="A138" s="13" t="s">
        <v>369</v>
      </c>
      <c r="B138" s="14" t="s">
        <v>370</v>
      </c>
      <c r="C138" s="6" t="s">
        <v>19</v>
      </c>
      <c r="D138" s="15">
        <v>41640</v>
      </c>
      <c r="E138" s="15">
        <v>44196</v>
      </c>
      <c r="F138" s="15"/>
      <c r="G138" s="15"/>
      <c r="H138" s="15"/>
      <c r="I138" s="14" t="s">
        <v>364</v>
      </c>
      <c r="J138" s="14" t="s">
        <v>109</v>
      </c>
      <c r="K138" s="14" t="s">
        <v>365</v>
      </c>
    </row>
    <row r="139" spans="1:11" ht="26.25" customHeight="1">
      <c r="A139" s="12" t="s">
        <v>371</v>
      </c>
      <c r="B139" s="12"/>
      <c r="C139" s="12"/>
      <c r="D139" s="12"/>
      <c r="E139" s="12"/>
      <c r="F139" s="12"/>
      <c r="G139" s="12"/>
      <c r="H139" s="12"/>
      <c r="I139" s="12"/>
      <c r="J139" s="12"/>
      <c r="K139" s="12"/>
    </row>
    <row r="140" spans="1:11" ht="146.25" customHeight="1">
      <c r="A140" s="13" t="s">
        <v>372</v>
      </c>
      <c r="B140" s="14" t="s">
        <v>373</v>
      </c>
      <c r="C140" s="6" t="s">
        <v>19</v>
      </c>
      <c r="D140" s="15">
        <v>41640</v>
      </c>
      <c r="E140" s="15">
        <v>44196</v>
      </c>
      <c r="F140" s="17"/>
      <c r="G140" s="17"/>
      <c r="H140" s="17"/>
      <c r="I140" s="14" t="s">
        <v>374</v>
      </c>
      <c r="J140" s="14" t="s">
        <v>375</v>
      </c>
      <c r="K140" s="14" t="s">
        <v>376</v>
      </c>
    </row>
    <row r="141" spans="1:11" ht="126" customHeight="1">
      <c r="A141" s="13" t="s">
        <v>377</v>
      </c>
      <c r="B141" s="14" t="s">
        <v>378</v>
      </c>
      <c r="C141" s="6" t="s">
        <v>19</v>
      </c>
      <c r="D141" s="15">
        <v>41640</v>
      </c>
      <c r="E141" s="15">
        <v>44196</v>
      </c>
      <c r="F141" s="17">
        <f>ROUND(105600/1000,1)</f>
        <v>105.6</v>
      </c>
      <c r="G141" s="17">
        <f>ROUND(116646/1000,1)</f>
        <v>116.6</v>
      </c>
      <c r="H141" s="17">
        <f>ROUND(116646/1000,1)</f>
        <v>116.6</v>
      </c>
      <c r="I141" s="14" t="s">
        <v>379</v>
      </c>
      <c r="J141" s="14" t="s">
        <v>380</v>
      </c>
      <c r="K141" s="14" t="s">
        <v>376</v>
      </c>
    </row>
    <row r="142" spans="1:11" ht="117.75" customHeight="1">
      <c r="A142" s="13" t="s">
        <v>381</v>
      </c>
      <c r="B142" s="14" t="s">
        <v>382</v>
      </c>
      <c r="C142" s="6" t="s">
        <v>19</v>
      </c>
      <c r="D142" s="15">
        <v>41640</v>
      </c>
      <c r="E142" s="15">
        <v>44196</v>
      </c>
      <c r="F142" s="17">
        <f>ROUND(8544061/1000,1)</f>
        <v>8544.1</v>
      </c>
      <c r="G142" s="17">
        <f>ROUND(8582672/1000,1)</f>
        <v>8582.7</v>
      </c>
      <c r="H142" s="17">
        <f>ROUND(8621925/1000,1)</f>
        <v>8621.9</v>
      </c>
      <c r="I142" s="14" t="s">
        <v>374</v>
      </c>
      <c r="J142" s="14" t="s">
        <v>383</v>
      </c>
      <c r="K142" s="14" t="s">
        <v>376</v>
      </c>
    </row>
    <row r="143" spans="1:11" s="21" customFormat="1" ht="25.5" customHeight="1">
      <c r="A143" s="27" t="s">
        <v>384</v>
      </c>
      <c r="B143" s="27"/>
      <c r="C143" s="27"/>
      <c r="D143" s="27"/>
      <c r="E143" s="27"/>
      <c r="F143" s="27"/>
      <c r="G143" s="27"/>
      <c r="H143" s="27"/>
      <c r="I143" s="27"/>
      <c r="J143" s="27"/>
      <c r="K143" s="27"/>
    </row>
    <row r="144" spans="1:11" ht="25.5" customHeight="1">
      <c r="A144" s="12" t="s">
        <v>385</v>
      </c>
      <c r="B144" s="12"/>
      <c r="C144" s="12"/>
      <c r="D144" s="12"/>
      <c r="E144" s="12"/>
      <c r="F144" s="12"/>
      <c r="G144" s="12"/>
      <c r="H144" s="12"/>
      <c r="I144" s="12"/>
      <c r="J144" s="12"/>
      <c r="K144" s="12"/>
    </row>
    <row r="145" spans="1:11" ht="129" customHeight="1">
      <c r="A145" s="13" t="s">
        <v>386</v>
      </c>
      <c r="B145" s="14" t="s">
        <v>387</v>
      </c>
      <c r="C145" s="6" t="s">
        <v>19</v>
      </c>
      <c r="D145" s="15">
        <v>41640</v>
      </c>
      <c r="E145" s="15">
        <v>44196</v>
      </c>
      <c r="F145" s="15"/>
      <c r="G145" s="15"/>
      <c r="H145" s="15"/>
      <c r="I145" s="14" t="s">
        <v>388</v>
      </c>
      <c r="J145" s="14" t="s">
        <v>389</v>
      </c>
      <c r="K145" s="14" t="s">
        <v>390</v>
      </c>
    </row>
    <row r="146" spans="1:11" ht="145.5" customHeight="1">
      <c r="A146" s="13" t="s">
        <v>391</v>
      </c>
      <c r="B146" s="14" t="s">
        <v>392</v>
      </c>
      <c r="C146" s="6" t="s">
        <v>19</v>
      </c>
      <c r="D146" s="15">
        <v>41640</v>
      </c>
      <c r="E146" s="15">
        <v>44196</v>
      </c>
      <c r="F146" s="15"/>
      <c r="G146" s="15"/>
      <c r="H146" s="15"/>
      <c r="I146" s="14" t="s">
        <v>388</v>
      </c>
      <c r="J146" s="14" t="s">
        <v>389</v>
      </c>
      <c r="K146" s="14" t="s">
        <v>390</v>
      </c>
    </row>
    <row r="147" spans="1:11" ht="138.75" customHeight="1">
      <c r="A147" s="13" t="s">
        <v>393</v>
      </c>
      <c r="B147" s="14" t="s">
        <v>394</v>
      </c>
      <c r="C147" s="6" t="s">
        <v>19</v>
      </c>
      <c r="D147" s="15">
        <v>41640</v>
      </c>
      <c r="E147" s="15">
        <v>44196</v>
      </c>
      <c r="F147" s="15"/>
      <c r="G147" s="15"/>
      <c r="H147" s="15"/>
      <c r="I147" s="14" t="s">
        <v>388</v>
      </c>
      <c r="J147" s="14" t="s">
        <v>389</v>
      </c>
      <c r="K147" s="14" t="s">
        <v>390</v>
      </c>
    </row>
    <row r="148" spans="1:11" ht="131.25" customHeight="1">
      <c r="A148" s="13" t="s">
        <v>395</v>
      </c>
      <c r="B148" s="14" t="s">
        <v>396</v>
      </c>
      <c r="C148" s="6" t="s">
        <v>19</v>
      </c>
      <c r="D148" s="15">
        <v>41640</v>
      </c>
      <c r="E148" s="15">
        <v>44196</v>
      </c>
      <c r="F148" s="15"/>
      <c r="G148" s="15"/>
      <c r="H148" s="15"/>
      <c r="I148" s="14" t="s">
        <v>388</v>
      </c>
      <c r="J148" s="14" t="s">
        <v>389</v>
      </c>
      <c r="K148" s="14" t="s">
        <v>397</v>
      </c>
    </row>
    <row r="149" spans="1:11" ht="163.5" customHeight="1">
      <c r="A149" s="13" t="s">
        <v>398</v>
      </c>
      <c r="B149" s="14" t="s">
        <v>399</v>
      </c>
      <c r="C149" s="6" t="s">
        <v>19</v>
      </c>
      <c r="D149" s="15">
        <v>41640</v>
      </c>
      <c r="E149" s="15">
        <v>44196</v>
      </c>
      <c r="F149" s="15"/>
      <c r="G149" s="15"/>
      <c r="H149" s="15"/>
      <c r="I149" s="14" t="s">
        <v>388</v>
      </c>
      <c r="J149" s="14" t="s">
        <v>389</v>
      </c>
      <c r="K149" s="14" t="s">
        <v>390</v>
      </c>
    </row>
    <row r="150" spans="1:71" s="29" customFormat="1" ht="27" customHeight="1">
      <c r="A150" s="12" t="s">
        <v>400</v>
      </c>
      <c r="B150" s="12"/>
      <c r="C150" s="12"/>
      <c r="D150" s="12"/>
      <c r="E150" s="12"/>
      <c r="F150" s="12"/>
      <c r="G150" s="12"/>
      <c r="H150" s="12"/>
      <c r="I150" s="12"/>
      <c r="J150" s="12"/>
      <c r="K150" s="12"/>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row>
    <row r="151" spans="1:11" ht="131.25" customHeight="1">
      <c r="A151" s="13" t="s">
        <v>401</v>
      </c>
      <c r="B151" s="14" t="s">
        <v>402</v>
      </c>
      <c r="C151" s="6" t="s">
        <v>19</v>
      </c>
      <c r="D151" s="15">
        <v>41640</v>
      </c>
      <c r="E151" s="15">
        <v>44196</v>
      </c>
      <c r="F151" s="15"/>
      <c r="G151" s="15"/>
      <c r="H151" s="15"/>
      <c r="I151" s="14" t="s">
        <v>388</v>
      </c>
      <c r="J151" s="14" t="s">
        <v>389</v>
      </c>
      <c r="K151" s="14" t="s">
        <v>397</v>
      </c>
    </row>
    <row r="152" spans="1:11" ht="133.5" customHeight="1">
      <c r="A152" s="13" t="s">
        <v>403</v>
      </c>
      <c r="B152" s="14" t="s">
        <v>404</v>
      </c>
      <c r="C152" s="6" t="s">
        <v>19</v>
      </c>
      <c r="D152" s="15">
        <v>41640</v>
      </c>
      <c r="E152" s="15">
        <v>44196</v>
      </c>
      <c r="F152" s="15"/>
      <c r="G152" s="15"/>
      <c r="H152" s="15"/>
      <c r="I152" s="14" t="s">
        <v>388</v>
      </c>
      <c r="J152" s="14" t="s">
        <v>389</v>
      </c>
      <c r="K152" s="14" t="s">
        <v>390</v>
      </c>
    </row>
    <row r="153" spans="1:11" ht="120" customHeight="1">
      <c r="A153" s="13" t="s">
        <v>405</v>
      </c>
      <c r="B153" s="14" t="s">
        <v>406</v>
      </c>
      <c r="C153" s="6" t="s">
        <v>19</v>
      </c>
      <c r="D153" s="15">
        <v>41640</v>
      </c>
      <c r="E153" s="15">
        <v>44196</v>
      </c>
      <c r="F153" s="15"/>
      <c r="G153" s="15"/>
      <c r="H153" s="15"/>
      <c r="I153" s="14" t="s">
        <v>388</v>
      </c>
      <c r="J153" s="14" t="s">
        <v>389</v>
      </c>
      <c r="K153" s="14" t="s">
        <v>390</v>
      </c>
    </row>
    <row r="154" spans="1:11" ht="132.75" customHeight="1">
      <c r="A154" s="13" t="s">
        <v>407</v>
      </c>
      <c r="B154" s="14" t="s">
        <v>408</v>
      </c>
      <c r="C154" s="6" t="s">
        <v>19</v>
      </c>
      <c r="D154" s="15">
        <v>41640</v>
      </c>
      <c r="E154" s="15">
        <v>44196</v>
      </c>
      <c r="F154" s="15"/>
      <c r="G154" s="15"/>
      <c r="H154" s="15"/>
      <c r="I154" s="14" t="s">
        <v>388</v>
      </c>
      <c r="J154" s="14" t="s">
        <v>389</v>
      </c>
      <c r="K154" s="14" t="s">
        <v>409</v>
      </c>
    </row>
    <row r="155" spans="1:11" ht="144" customHeight="1">
      <c r="A155" s="13" t="s">
        <v>410</v>
      </c>
      <c r="B155" s="14" t="s">
        <v>411</v>
      </c>
      <c r="C155" s="6" t="s">
        <v>19</v>
      </c>
      <c r="D155" s="15">
        <v>41640</v>
      </c>
      <c r="E155" s="15">
        <v>44196</v>
      </c>
      <c r="F155" s="15"/>
      <c r="G155" s="15"/>
      <c r="H155" s="15"/>
      <c r="I155" s="14" t="s">
        <v>388</v>
      </c>
      <c r="J155" s="14" t="s">
        <v>389</v>
      </c>
      <c r="K155" s="14" t="s">
        <v>409</v>
      </c>
    </row>
    <row r="156" spans="1:11" ht="123" customHeight="1">
      <c r="A156" s="13" t="s">
        <v>412</v>
      </c>
      <c r="B156" s="14" t="s">
        <v>413</v>
      </c>
      <c r="C156" s="6" t="s">
        <v>19</v>
      </c>
      <c r="D156" s="15">
        <v>41640</v>
      </c>
      <c r="E156" s="15">
        <v>44196</v>
      </c>
      <c r="F156" s="15"/>
      <c r="G156" s="15"/>
      <c r="H156" s="15"/>
      <c r="I156" s="14" t="s">
        <v>388</v>
      </c>
      <c r="J156" s="14" t="s">
        <v>389</v>
      </c>
      <c r="K156" s="14" t="s">
        <v>397</v>
      </c>
    </row>
    <row r="157" spans="1:11" ht="96" customHeight="1">
      <c r="A157" s="13" t="s">
        <v>414</v>
      </c>
      <c r="B157" s="14" t="s">
        <v>415</v>
      </c>
      <c r="C157" s="6" t="s">
        <v>19</v>
      </c>
      <c r="D157" s="15">
        <v>41640</v>
      </c>
      <c r="E157" s="15">
        <v>44196</v>
      </c>
      <c r="F157" s="15"/>
      <c r="G157" s="15"/>
      <c r="H157" s="15"/>
      <c r="I157" s="14" t="s">
        <v>416</v>
      </c>
      <c r="J157" s="14" t="s">
        <v>389</v>
      </c>
      <c r="K157" s="14" t="s">
        <v>417</v>
      </c>
    </row>
    <row r="158" spans="1:11" ht="27.75" customHeight="1">
      <c r="A158" s="12" t="s">
        <v>418</v>
      </c>
      <c r="B158" s="12"/>
      <c r="C158" s="12"/>
      <c r="D158" s="12"/>
      <c r="E158" s="12"/>
      <c r="F158" s="12"/>
      <c r="G158" s="12"/>
      <c r="H158" s="12"/>
      <c r="I158" s="12"/>
      <c r="J158" s="12"/>
      <c r="K158" s="12"/>
    </row>
    <row r="159" spans="1:11" ht="129.75" customHeight="1">
      <c r="A159" s="13" t="s">
        <v>419</v>
      </c>
      <c r="B159" s="14" t="s">
        <v>420</v>
      </c>
      <c r="C159" s="6" t="s">
        <v>19</v>
      </c>
      <c r="D159" s="15">
        <v>41640</v>
      </c>
      <c r="E159" s="15">
        <v>44196</v>
      </c>
      <c r="F159" s="17"/>
      <c r="G159" s="17"/>
      <c r="H159" s="17"/>
      <c r="I159" s="14" t="s">
        <v>388</v>
      </c>
      <c r="J159" s="14" t="s">
        <v>389</v>
      </c>
      <c r="K159" s="14" t="s">
        <v>390</v>
      </c>
    </row>
    <row r="160" spans="1:11" ht="162" customHeight="1">
      <c r="A160" s="13" t="s">
        <v>421</v>
      </c>
      <c r="B160" s="14" t="s">
        <v>422</v>
      </c>
      <c r="C160" s="6" t="s">
        <v>19</v>
      </c>
      <c r="D160" s="15">
        <v>41640</v>
      </c>
      <c r="E160" s="15">
        <v>44196</v>
      </c>
      <c r="F160" s="17"/>
      <c r="G160" s="17"/>
      <c r="H160" s="17"/>
      <c r="I160" s="14" t="s">
        <v>388</v>
      </c>
      <c r="J160" s="14" t="s">
        <v>389</v>
      </c>
      <c r="K160" s="14" t="s">
        <v>390</v>
      </c>
    </row>
    <row r="161" spans="1:11" ht="134.25" customHeight="1">
      <c r="A161" s="13" t="s">
        <v>423</v>
      </c>
      <c r="B161" s="14" t="s">
        <v>424</v>
      </c>
      <c r="C161" s="6" t="s">
        <v>19</v>
      </c>
      <c r="D161" s="15">
        <v>41640</v>
      </c>
      <c r="E161" s="15">
        <v>44196</v>
      </c>
      <c r="F161" s="17">
        <f>ROUND(36391808/1000,1)</f>
        <v>36391.8</v>
      </c>
      <c r="G161" s="17">
        <f>ROUND(36810931/1000,1)</f>
        <v>36810.9</v>
      </c>
      <c r="H161" s="17">
        <f>ROUND(37237027/1000,1)</f>
        <v>37237</v>
      </c>
      <c r="I161" s="14" t="s">
        <v>388</v>
      </c>
      <c r="J161" s="14" t="s">
        <v>389</v>
      </c>
      <c r="K161" s="14" t="s">
        <v>390</v>
      </c>
    </row>
    <row r="162" spans="1:11" ht="138.75" customHeight="1">
      <c r="A162" s="13" t="s">
        <v>425</v>
      </c>
      <c r="B162" s="14" t="s">
        <v>426</v>
      </c>
      <c r="C162" s="6" t="s">
        <v>19</v>
      </c>
      <c r="D162" s="15">
        <v>41640</v>
      </c>
      <c r="E162" s="15">
        <v>44196</v>
      </c>
      <c r="F162" s="17"/>
      <c r="G162" s="17"/>
      <c r="H162" s="17"/>
      <c r="I162" s="14" t="s">
        <v>388</v>
      </c>
      <c r="J162" s="14" t="s">
        <v>389</v>
      </c>
      <c r="K162" s="14" t="s">
        <v>390</v>
      </c>
    </row>
    <row r="163" spans="1:11" ht="129.75" customHeight="1">
      <c r="A163" s="13" t="s">
        <v>427</v>
      </c>
      <c r="B163" s="14" t="s">
        <v>428</v>
      </c>
      <c r="C163" s="6" t="s">
        <v>19</v>
      </c>
      <c r="D163" s="15">
        <v>41640</v>
      </c>
      <c r="E163" s="15">
        <v>44196</v>
      </c>
      <c r="F163" s="17"/>
      <c r="G163" s="17"/>
      <c r="H163" s="17"/>
      <c r="I163" s="14" t="s">
        <v>388</v>
      </c>
      <c r="J163" s="14" t="s">
        <v>389</v>
      </c>
      <c r="K163" s="14" t="s">
        <v>390</v>
      </c>
    </row>
    <row r="164" spans="1:11" ht="129" customHeight="1">
      <c r="A164" s="13" t="s">
        <v>429</v>
      </c>
      <c r="B164" s="14" t="s">
        <v>430</v>
      </c>
      <c r="C164" s="6" t="s">
        <v>19</v>
      </c>
      <c r="D164" s="15">
        <v>41640</v>
      </c>
      <c r="E164" s="15">
        <v>44196</v>
      </c>
      <c r="F164" s="17"/>
      <c r="G164" s="17"/>
      <c r="H164" s="17"/>
      <c r="I164" s="14" t="s">
        <v>388</v>
      </c>
      <c r="J164" s="14" t="s">
        <v>389</v>
      </c>
      <c r="K164" s="14" t="s">
        <v>431</v>
      </c>
    </row>
    <row r="165" spans="1:11" ht="119.25" customHeight="1">
      <c r="A165" s="13" t="s">
        <v>432</v>
      </c>
      <c r="B165" s="14" t="s">
        <v>433</v>
      </c>
      <c r="C165" s="6" t="s">
        <v>19</v>
      </c>
      <c r="D165" s="15">
        <v>41640</v>
      </c>
      <c r="E165" s="15">
        <v>44196</v>
      </c>
      <c r="F165" s="17"/>
      <c r="G165" s="17"/>
      <c r="H165" s="17"/>
      <c r="I165" s="14" t="s">
        <v>434</v>
      </c>
      <c r="J165" s="14" t="s">
        <v>389</v>
      </c>
      <c r="K165" s="14" t="s">
        <v>435</v>
      </c>
    </row>
    <row r="166" spans="1:11" ht="27.75" customHeight="1">
      <c r="A166" s="12" t="s">
        <v>436</v>
      </c>
      <c r="B166" s="12"/>
      <c r="C166" s="12"/>
      <c r="D166" s="12"/>
      <c r="E166" s="12"/>
      <c r="F166" s="12"/>
      <c r="G166" s="12"/>
      <c r="H166" s="12"/>
      <c r="I166" s="12"/>
      <c r="J166" s="12"/>
      <c r="K166" s="12"/>
    </row>
    <row r="167" spans="1:11" ht="127.5" customHeight="1">
      <c r="A167" s="13" t="s">
        <v>437</v>
      </c>
      <c r="B167" s="14" t="s">
        <v>438</v>
      </c>
      <c r="C167" s="6" t="s">
        <v>19</v>
      </c>
      <c r="D167" s="15">
        <v>41640</v>
      </c>
      <c r="E167" s="15">
        <v>44196</v>
      </c>
      <c r="F167" s="17">
        <f>ROUND(32082670/1000,1)</f>
        <v>32082.7</v>
      </c>
      <c r="G167" s="17">
        <f>ROUND(32674578/1000,1)</f>
        <v>32674.6</v>
      </c>
      <c r="H167" s="17">
        <f>ROUND(33276335/1000,1)</f>
        <v>33276.3</v>
      </c>
      <c r="I167" s="14" t="s">
        <v>439</v>
      </c>
      <c r="J167" s="14" t="s">
        <v>389</v>
      </c>
      <c r="K167" s="14" t="s">
        <v>440</v>
      </c>
    </row>
    <row r="168" spans="1:11" ht="147" customHeight="1">
      <c r="A168" s="13" t="s">
        <v>441</v>
      </c>
      <c r="B168" s="14" t="s">
        <v>442</v>
      </c>
      <c r="C168" s="6" t="s">
        <v>73</v>
      </c>
      <c r="D168" s="15">
        <v>41640</v>
      </c>
      <c r="E168" s="15">
        <v>44196</v>
      </c>
      <c r="F168" s="17">
        <f>'[2]Таблица 7а'!$J$85</f>
        <v>1030000</v>
      </c>
      <c r="G168" s="17">
        <f>'[2]Таблица 7а'!$K$85</f>
        <v>500000</v>
      </c>
      <c r="H168" s="17">
        <f>'[2]Таблица 7а'!$L$85</f>
        <v>0</v>
      </c>
      <c r="I168" s="14" t="s">
        <v>443</v>
      </c>
      <c r="J168" s="14" t="s">
        <v>389</v>
      </c>
      <c r="K168" s="14" t="s">
        <v>444</v>
      </c>
    </row>
    <row r="169" spans="1:11" ht="127.5" customHeight="1">
      <c r="A169" s="13" t="s">
        <v>445</v>
      </c>
      <c r="B169" s="14" t="s">
        <v>446</v>
      </c>
      <c r="C169" s="6" t="s">
        <v>19</v>
      </c>
      <c r="D169" s="15">
        <v>41640</v>
      </c>
      <c r="E169" s="15">
        <v>44196</v>
      </c>
      <c r="F169" s="17">
        <f>ROUND(13559273/1000,1)</f>
        <v>13559.3</v>
      </c>
      <c r="G169" s="17">
        <f>ROUND(13559273/1000,1)</f>
        <v>13559.3</v>
      </c>
      <c r="H169" s="17">
        <f>ROUND(13559273/1000,1)</f>
        <v>13559.3</v>
      </c>
      <c r="I169" s="14" t="s">
        <v>439</v>
      </c>
      <c r="J169" s="14" t="s">
        <v>389</v>
      </c>
      <c r="K169" s="14" t="s">
        <v>440</v>
      </c>
    </row>
    <row r="170" spans="1:11" ht="103.5" customHeight="1">
      <c r="A170" s="13" t="s">
        <v>447</v>
      </c>
      <c r="B170" s="14" t="s">
        <v>448</v>
      </c>
      <c r="C170" s="6" t="s">
        <v>19</v>
      </c>
      <c r="D170" s="15">
        <v>41640</v>
      </c>
      <c r="E170" s="15">
        <v>44196</v>
      </c>
      <c r="F170" s="17"/>
      <c r="G170" s="17"/>
      <c r="H170" s="17"/>
      <c r="I170" s="14" t="s">
        <v>439</v>
      </c>
      <c r="J170" s="14" t="s">
        <v>389</v>
      </c>
      <c r="K170" s="14" t="s">
        <v>449</v>
      </c>
    </row>
    <row r="171" spans="1:11" ht="106.5" customHeight="1">
      <c r="A171" s="13" t="s">
        <v>450</v>
      </c>
      <c r="B171" s="14" t="s">
        <v>451</v>
      </c>
      <c r="C171" s="6" t="s">
        <v>19</v>
      </c>
      <c r="D171" s="15">
        <v>41640</v>
      </c>
      <c r="E171" s="15">
        <v>44196</v>
      </c>
      <c r="F171" s="17"/>
      <c r="G171" s="17"/>
      <c r="H171" s="17"/>
      <c r="I171" s="14" t="s">
        <v>439</v>
      </c>
      <c r="J171" s="14" t="s">
        <v>389</v>
      </c>
      <c r="K171" s="14" t="s">
        <v>440</v>
      </c>
    </row>
    <row r="172" spans="1:11" ht="104.25" customHeight="1">
      <c r="A172" s="13" t="s">
        <v>452</v>
      </c>
      <c r="B172" s="14" t="s">
        <v>453</v>
      </c>
      <c r="C172" s="6" t="s">
        <v>19</v>
      </c>
      <c r="D172" s="15">
        <v>41640</v>
      </c>
      <c r="E172" s="15">
        <v>44196</v>
      </c>
      <c r="F172" s="17"/>
      <c r="G172" s="17"/>
      <c r="H172" s="17"/>
      <c r="I172" s="14" t="s">
        <v>439</v>
      </c>
      <c r="J172" s="14" t="s">
        <v>389</v>
      </c>
      <c r="K172" s="14" t="s">
        <v>449</v>
      </c>
    </row>
    <row r="173" spans="1:11" s="21" customFormat="1" ht="25.5" customHeight="1">
      <c r="A173" s="27" t="s">
        <v>454</v>
      </c>
      <c r="B173" s="27"/>
      <c r="C173" s="27"/>
      <c r="D173" s="27"/>
      <c r="E173" s="27"/>
      <c r="F173" s="27"/>
      <c r="G173" s="27"/>
      <c r="H173" s="27"/>
      <c r="I173" s="27"/>
      <c r="J173" s="27"/>
      <c r="K173" s="27"/>
    </row>
    <row r="174" spans="1:11" ht="26.25" customHeight="1">
      <c r="A174" s="12" t="s">
        <v>455</v>
      </c>
      <c r="B174" s="12"/>
      <c r="C174" s="12"/>
      <c r="D174" s="12"/>
      <c r="E174" s="12"/>
      <c r="F174" s="12"/>
      <c r="G174" s="12"/>
      <c r="H174" s="12"/>
      <c r="I174" s="12"/>
      <c r="J174" s="12"/>
      <c r="K174" s="12"/>
    </row>
    <row r="175" spans="1:11" ht="117.75" customHeight="1">
      <c r="A175" s="13" t="s">
        <v>456</v>
      </c>
      <c r="B175" s="14" t="s">
        <v>457</v>
      </c>
      <c r="C175" s="6" t="s">
        <v>19</v>
      </c>
      <c r="D175" s="15">
        <v>41640</v>
      </c>
      <c r="E175" s="15">
        <v>44196</v>
      </c>
      <c r="F175" s="17">
        <f>ROUND(63312000/1000,1)</f>
        <v>63312</v>
      </c>
      <c r="G175" s="17">
        <f>ROUND(63312000/1000,1)</f>
        <v>63312</v>
      </c>
      <c r="H175" s="17">
        <f>ROUND(63312000/1000,1)</f>
        <v>63312</v>
      </c>
      <c r="I175" s="14" t="s">
        <v>458</v>
      </c>
      <c r="J175" s="14" t="s">
        <v>459</v>
      </c>
      <c r="K175" s="14" t="s">
        <v>460</v>
      </c>
    </row>
    <row r="176" spans="1:11" ht="96.75" customHeight="1">
      <c r="A176" s="13" t="s">
        <v>461</v>
      </c>
      <c r="B176" s="14" t="s">
        <v>462</v>
      </c>
      <c r="C176" s="6" t="s">
        <v>19</v>
      </c>
      <c r="D176" s="15">
        <v>41640</v>
      </c>
      <c r="E176" s="15">
        <v>44196</v>
      </c>
      <c r="F176" s="17"/>
      <c r="G176" s="17"/>
      <c r="H176" s="17"/>
      <c r="I176" s="14" t="s">
        <v>463</v>
      </c>
      <c r="J176" s="14" t="s">
        <v>459</v>
      </c>
      <c r="K176" s="14" t="s">
        <v>460</v>
      </c>
    </row>
    <row r="177" spans="1:11" ht="106.5" customHeight="1">
      <c r="A177" s="13" t="s">
        <v>464</v>
      </c>
      <c r="B177" s="14" t="s">
        <v>465</v>
      </c>
      <c r="C177" s="6" t="s">
        <v>19</v>
      </c>
      <c r="D177" s="15">
        <v>41640</v>
      </c>
      <c r="E177" s="15">
        <v>44196</v>
      </c>
      <c r="F177" s="17"/>
      <c r="G177" s="17"/>
      <c r="H177" s="17"/>
      <c r="I177" s="14" t="s">
        <v>463</v>
      </c>
      <c r="J177" s="14" t="s">
        <v>459</v>
      </c>
      <c r="K177" s="14" t="s">
        <v>460</v>
      </c>
    </row>
    <row r="178" spans="1:11" ht="106.5" customHeight="1">
      <c r="A178" s="13" t="s">
        <v>466</v>
      </c>
      <c r="B178" s="14" t="s">
        <v>467</v>
      </c>
      <c r="C178" s="6" t="s">
        <v>19</v>
      </c>
      <c r="D178" s="15">
        <v>41640</v>
      </c>
      <c r="E178" s="15">
        <v>44196</v>
      </c>
      <c r="F178" s="17"/>
      <c r="G178" s="17"/>
      <c r="H178" s="17"/>
      <c r="I178" s="14" t="s">
        <v>463</v>
      </c>
      <c r="J178" s="14" t="s">
        <v>459</v>
      </c>
      <c r="K178" s="14" t="s">
        <v>460</v>
      </c>
    </row>
    <row r="179" spans="1:11" ht="106.5" customHeight="1">
      <c r="A179" s="13" t="s">
        <v>468</v>
      </c>
      <c r="B179" s="14" t="s">
        <v>469</v>
      </c>
      <c r="C179" s="6" t="s">
        <v>19</v>
      </c>
      <c r="D179" s="15">
        <v>41640</v>
      </c>
      <c r="E179" s="15">
        <v>44196</v>
      </c>
      <c r="F179" s="17"/>
      <c r="G179" s="17"/>
      <c r="H179" s="17"/>
      <c r="I179" s="14" t="s">
        <v>463</v>
      </c>
      <c r="J179" s="14" t="s">
        <v>459</v>
      </c>
      <c r="K179" s="14" t="s">
        <v>460</v>
      </c>
    </row>
    <row r="180" spans="1:11" ht="101.25" customHeight="1">
      <c r="A180" s="13" t="s">
        <v>470</v>
      </c>
      <c r="B180" s="14" t="s">
        <v>471</v>
      </c>
      <c r="C180" s="6" t="s">
        <v>19</v>
      </c>
      <c r="D180" s="15">
        <v>41640</v>
      </c>
      <c r="E180" s="15">
        <v>44196</v>
      </c>
      <c r="F180" s="17">
        <f>ROUND(139139375/1000,1)</f>
        <v>139139.4</v>
      </c>
      <c r="G180" s="17">
        <f>ROUND(140911489/1000,1)</f>
        <v>140911.5</v>
      </c>
      <c r="H180" s="17">
        <f>ROUND(142713088/1000,1)</f>
        <v>142713.1</v>
      </c>
      <c r="I180" s="14" t="s">
        <v>463</v>
      </c>
      <c r="J180" s="14" t="s">
        <v>459</v>
      </c>
      <c r="K180" s="14" t="s">
        <v>472</v>
      </c>
    </row>
    <row r="181" spans="1:11" ht="26.25" customHeight="1">
      <c r="A181" s="12" t="s">
        <v>473</v>
      </c>
      <c r="B181" s="12"/>
      <c r="C181" s="12"/>
      <c r="D181" s="12"/>
      <c r="E181" s="12"/>
      <c r="F181" s="12"/>
      <c r="G181" s="12"/>
      <c r="H181" s="12"/>
      <c r="I181" s="12"/>
      <c r="J181" s="12"/>
      <c r="K181" s="12"/>
    </row>
    <row r="182" spans="1:11" ht="128.25" customHeight="1">
      <c r="A182" s="13" t="s">
        <v>474</v>
      </c>
      <c r="B182" s="14" t="s">
        <v>475</v>
      </c>
      <c r="C182" s="6" t="s">
        <v>19</v>
      </c>
      <c r="D182" s="15">
        <v>41640</v>
      </c>
      <c r="E182" s="15">
        <v>44196</v>
      </c>
      <c r="F182" s="17">
        <f>ROUND(4988000/1000,1)</f>
        <v>4988</v>
      </c>
      <c r="G182" s="17">
        <f>ROUND(4988000/1000,1)</f>
        <v>4988</v>
      </c>
      <c r="H182" s="17">
        <f>ROUND(4988000/1000,1)</f>
        <v>4988</v>
      </c>
      <c r="I182" s="14" t="s">
        <v>476</v>
      </c>
      <c r="J182" s="14" t="s">
        <v>459</v>
      </c>
      <c r="K182" s="14" t="s">
        <v>477</v>
      </c>
    </row>
    <row r="183" spans="1:11" ht="99.75" customHeight="1">
      <c r="A183" s="13" t="s">
        <v>478</v>
      </c>
      <c r="B183" s="14" t="s">
        <v>479</v>
      </c>
      <c r="C183" s="6" t="s">
        <v>19</v>
      </c>
      <c r="D183" s="15">
        <v>41640</v>
      </c>
      <c r="E183" s="15">
        <v>44196</v>
      </c>
      <c r="F183" s="15"/>
      <c r="G183" s="15"/>
      <c r="H183" s="15"/>
      <c r="I183" s="14" t="s">
        <v>480</v>
      </c>
      <c r="J183" s="14" t="s">
        <v>459</v>
      </c>
      <c r="K183" s="14" t="s">
        <v>477</v>
      </c>
    </row>
    <row r="184" spans="1:11" ht="126" customHeight="1">
      <c r="A184" s="13" t="s">
        <v>481</v>
      </c>
      <c r="B184" s="14" t="s">
        <v>482</v>
      </c>
      <c r="C184" s="6" t="s">
        <v>19</v>
      </c>
      <c r="D184" s="15">
        <v>41640</v>
      </c>
      <c r="E184" s="15">
        <v>44196</v>
      </c>
      <c r="F184" s="15"/>
      <c r="G184" s="15"/>
      <c r="H184" s="15"/>
      <c r="I184" s="14" t="s">
        <v>480</v>
      </c>
      <c r="J184" s="14" t="s">
        <v>459</v>
      </c>
      <c r="K184" s="14" t="s">
        <v>477</v>
      </c>
    </row>
    <row r="185" spans="1:11" ht="126" customHeight="1">
      <c r="A185" s="13" t="s">
        <v>483</v>
      </c>
      <c r="B185" s="14" t="s">
        <v>484</v>
      </c>
      <c r="C185" s="6" t="s">
        <v>19</v>
      </c>
      <c r="D185" s="15">
        <v>41640</v>
      </c>
      <c r="E185" s="15">
        <v>44196</v>
      </c>
      <c r="F185" s="15"/>
      <c r="G185" s="15"/>
      <c r="H185" s="15"/>
      <c r="I185" s="14" t="s">
        <v>480</v>
      </c>
      <c r="J185" s="14" t="s">
        <v>459</v>
      </c>
      <c r="K185" s="14" t="s">
        <v>477</v>
      </c>
    </row>
    <row r="186" spans="1:11" ht="126" customHeight="1">
      <c r="A186" s="13" t="s">
        <v>485</v>
      </c>
      <c r="B186" s="14" t="s">
        <v>486</v>
      </c>
      <c r="C186" s="6" t="s">
        <v>19</v>
      </c>
      <c r="D186" s="15">
        <v>41640</v>
      </c>
      <c r="E186" s="15">
        <v>44196</v>
      </c>
      <c r="F186" s="15"/>
      <c r="G186" s="15"/>
      <c r="H186" s="15"/>
      <c r="I186" s="14" t="s">
        <v>480</v>
      </c>
      <c r="J186" s="14" t="s">
        <v>459</v>
      </c>
      <c r="K186" s="14" t="s">
        <v>477</v>
      </c>
    </row>
    <row r="187" spans="1:11" s="21" customFormat="1" ht="24.75" customHeight="1">
      <c r="A187" s="27" t="s">
        <v>487</v>
      </c>
      <c r="B187" s="27"/>
      <c r="C187" s="27"/>
      <c r="D187" s="27"/>
      <c r="E187" s="27"/>
      <c r="F187" s="27"/>
      <c r="G187" s="27"/>
      <c r="H187" s="27"/>
      <c r="I187" s="27"/>
      <c r="J187" s="27"/>
      <c r="K187" s="27"/>
    </row>
    <row r="188" spans="1:11" ht="26.25" customHeight="1">
      <c r="A188" s="12" t="s">
        <v>488</v>
      </c>
      <c r="B188" s="12"/>
      <c r="C188" s="12"/>
      <c r="D188" s="12"/>
      <c r="E188" s="12"/>
      <c r="F188" s="12"/>
      <c r="G188" s="12"/>
      <c r="H188" s="12"/>
      <c r="I188" s="12"/>
      <c r="J188" s="12"/>
      <c r="K188" s="12"/>
    </row>
    <row r="189" spans="1:11" ht="260.25" customHeight="1">
      <c r="A189" s="13" t="s">
        <v>489</v>
      </c>
      <c r="B189" s="14" t="s">
        <v>490</v>
      </c>
      <c r="C189" s="6" t="s">
        <v>19</v>
      </c>
      <c r="D189" s="15">
        <v>41640</v>
      </c>
      <c r="E189" s="15">
        <v>44196</v>
      </c>
      <c r="F189" s="15"/>
      <c r="G189" s="15"/>
      <c r="H189" s="15"/>
      <c r="I189" s="16" t="s">
        <v>491</v>
      </c>
      <c r="J189" s="14" t="s">
        <v>492</v>
      </c>
      <c r="K189" s="14" t="s">
        <v>493</v>
      </c>
    </row>
    <row r="190" spans="1:11" ht="245.25" customHeight="1">
      <c r="A190" s="13" t="s">
        <v>494</v>
      </c>
      <c r="B190" s="14" t="s">
        <v>495</v>
      </c>
      <c r="C190" s="6" t="s">
        <v>19</v>
      </c>
      <c r="D190" s="15">
        <v>41640</v>
      </c>
      <c r="E190" s="15">
        <v>44196</v>
      </c>
      <c r="F190" s="15"/>
      <c r="G190" s="15"/>
      <c r="H190" s="15"/>
      <c r="I190" s="14" t="s">
        <v>496</v>
      </c>
      <c r="J190" s="14" t="s">
        <v>492</v>
      </c>
      <c r="K190" s="14" t="s">
        <v>497</v>
      </c>
    </row>
    <row r="191" spans="1:11" ht="252.75" customHeight="1">
      <c r="A191" s="13" t="s">
        <v>498</v>
      </c>
      <c r="B191" s="14" t="s">
        <v>499</v>
      </c>
      <c r="C191" s="6" t="s">
        <v>19</v>
      </c>
      <c r="D191" s="15">
        <v>41640</v>
      </c>
      <c r="E191" s="15">
        <v>44196</v>
      </c>
      <c r="F191" s="15"/>
      <c r="G191" s="15"/>
      <c r="H191" s="15"/>
      <c r="I191" s="14" t="s">
        <v>496</v>
      </c>
      <c r="J191" s="14" t="s">
        <v>492</v>
      </c>
      <c r="K191" s="14" t="s">
        <v>500</v>
      </c>
    </row>
    <row r="192" spans="1:11" ht="26.25" customHeight="1">
      <c r="A192" s="12" t="s">
        <v>501</v>
      </c>
      <c r="B192" s="12"/>
      <c r="C192" s="12"/>
      <c r="D192" s="12"/>
      <c r="E192" s="12"/>
      <c r="F192" s="12"/>
      <c r="G192" s="12"/>
      <c r="H192" s="12"/>
      <c r="I192" s="12"/>
      <c r="J192" s="12"/>
      <c r="K192" s="12"/>
    </row>
    <row r="193" spans="1:11" ht="228" customHeight="1">
      <c r="A193" s="13" t="s">
        <v>502</v>
      </c>
      <c r="B193" s="14" t="s">
        <v>503</v>
      </c>
      <c r="C193" s="6" t="s">
        <v>19</v>
      </c>
      <c r="D193" s="15">
        <v>41640</v>
      </c>
      <c r="E193" s="15">
        <v>44196</v>
      </c>
      <c r="F193" s="17">
        <f>ROUND(19046400/1000,1)</f>
        <v>19046.4</v>
      </c>
      <c r="G193" s="17">
        <f>ROUND(19046400/1000,1)</f>
        <v>19046.4</v>
      </c>
      <c r="H193" s="17">
        <f>ROUND(19046400/1000,1)</f>
        <v>19046.4</v>
      </c>
      <c r="I193" s="14" t="s">
        <v>504</v>
      </c>
      <c r="J193" s="14" t="s">
        <v>505</v>
      </c>
      <c r="K193" s="14" t="s">
        <v>506</v>
      </c>
    </row>
    <row r="194" spans="1:11" ht="106.5" customHeight="1">
      <c r="A194" s="13" t="s">
        <v>507</v>
      </c>
      <c r="B194" s="14" t="s">
        <v>508</v>
      </c>
      <c r="C194" s="6" t="s">
        <v>19</v>
      </c>
      <c r="D194" s="15">
        <v>41640</v>
      </c>
      <c r="E194" s="15">
        <v>44196</v>
      </c>
      <c r="F194" s="17"/>
      <c r="G194" s="17"/>
      <c r="H194" s="17"/>
      <c r="I194" s="14" t="s">
        <v>509</v>
      </c>
      <c r="J194" s="14" t="s">
        <v>505</v>
      </c>
      <c r="K194" s="14" t="s">
        <v>510</v>
      </c>
    </row>
    <row r="195" spans="1:11" ht="132.75" customHeight="1">
      <c r="A195" s="13" t="s">
        <v>511</v>
      </c>
      <c r="B195" s="14" t="s">
        <v>512</v>
      </c>
      <c r="C195" s="6" t="s">
        <v>19</v>
      </c>
      <c r="D195" s="15">
        <v>41640</v>
      </c>
      <c r="E195" s="15">
        <v>44196</v>
      </c>
      <c r="F195" s="17"/>
      <c r="G195" s="17"/>
      <c r="H195" s="17"/>
      <c r="I195" s="14" t="s">
        <v>513</v>
      </c>
      <c r="J195" s="14" t="s">
        <v>505</v>
      </c>
      <c r="K195" s="14" t="s">
        <v>514</v>
      </c>
    </row>
    <row r="196" spans="1:11" ht="252" customHeight="1">
      <c r="A196" s="13" t="s">
        <v>515</v>
      </c>
      <c r="B196" s="14" t="s">
        <v>516</v>
      </c>
      <c r="C196" s="6" t="s">
        <v>19</v>
      </c>
      <c r="D196" s="15">
        <v>41640</v>
      </c>
      <c r="E196" s="15">
        <v>44196</v>
      </c>
      <c r="F196" s="17"/>
      <c r="G196" s="17"/>
      <c r="H196" s="17"/>
      <c r="I196" s="14" t="s">
        <v>517</v>
      </c>
      <c r="J196" s="14" t="s">
        <v>505</v>
      </c>
      <c r="K196" s="14" t="s">
        <v>518</v>
      </c>
    </row>
    <row r="197" spans="1:11" ht="226.5" customHeight="1">
      <c r="A197" s="13" t="s">
        <v>519</v>
      </c>
      <c r="B197" s="14" t="s">
        <v>520</v>
      </c>
      <c r="C197" s="6" t="s">
        <v>19</v>
      </c>
      <c r="D197" s="15">
        <v>41640</v>
      </c>
      <c r="E197" s="15">
        <v>44196</v>
      </c>
      <c r="F197" s="17"/>
      <c r="G197" s="17"/>
      <c r="H197" s="17"/>
      <c r="I197" s="14" t="s">
        <v>521</v>
      </c>
      <c r="J197" s="14" t="s">
        <v>505</v>
      </c>
      <c r="K197" s="14" t="s">
        <v>518</v>
      </c>
    </row>
    <row r="198" spans="1:11" ht="218.25" customHeight="1">
      <c r="A198" s="13" t="s">
        <v>522</v>
      </c>
      <c r="B198" s="14" t="s">
        <v>523</v>
      </c>
      <c r="C198" s="6" t="s">
        <v>19</v>
      </c>
      <c r="D198" s="15">
        <v>41640</v>
      </c>
      <c r="E198" s="15">
        <v>44196</v>
      </c>
      <c r="F198" s="17">
        <f>ROUND(7400000/1000,1)</f>
        <v>7400</v>
      </c>
      <c r="G198" s="17">
        <f>ROUND(7400000/1000,1)</f>
        <v>7400</v>
      </c>
      <c r="H198" s="17">
        <f>ROUND(7400000/1000,1)</f>
        <v>7400</v>
      </c>
      <c r="I198" s="14" t="s">
        <v>524</v>
      </c>
      <c r="J198" s="14" t="s">
        <v>505</v>
      </c>
      <c r="K198" s="14" t="s">
        <v>525</v>
      </c>
    </row>
    <row r="199" spans="1:11" ht="225.75" customHeight="1">
      <c r="A199" s="13" t="s">
        <v>526</v>
      </c>
      <c r="B199" s="14" t="s">
        <v>527</v>
      </c>
      <c r="C199" s="6" t="s">
        <v>19</v>
      </c>
      <c r="D199" s="15">
        <v>41640</v>
      </c>
      <c r="E199" s="15">
        <v>44196</v>
      </c>
      <c r="F199" s="17"/>
      <c r="G199" s="17"/>
      <c r="H199" s="17"/>
      <c r="I199" s="14" t="s">
        <v>528</v>
      </c>
      <c r="J199" s="14" t="s">
        <v>505</v>
      </c>
      <c r="K199" s="14" t="s">
        <v>529</v>
      </c>
    </row>
    <row r="200" spans="1:11" ht="124.5" customHeight="1">
      <c r="A200" s="13" t="s">
        <v>530</v>
      </c>
      <c r="B200" s="14" t="s">
        <v>531</v>
      </c>
      <c r="C200" s="6" t="s">
        <v>19</v>
      </c>
      <c r="D200" s="15">
        <v>41640</v>
      </c>
      <c r="E200" s="15">
        <v>44196</v>
      </c>
      <c r="F200" s="17"/>
      <c r="G200" s="17"/>
      <c r="H200" s="17"/>
      <c r="I200" s="14" t="s">
        <v>532</v>
      </c>
      <c r="J200" s="14" t="s">
        <v>505</v>
      </c>
      <c r="K200" s="14" t="s">
        <v>533</v>
      </c>
    </row>
    <row r="201" spans="1:11" ht="26.25" customHeight="1">
      <c r="A201" s="12" t="s">
        <v>534</v>
      </c>
      <c r="B201" s="12"/>
      <c r="C201" s="12"/>
      <c r="D201" s="12"/>
      <c r="E201" s="12"/>
      <c r="F201" s="12"/>
      <c r="G201" s="12"/>
      <c r="H201" s="12"/>
      <c r="I201" s="12"/>
      <c r="J201" s="12"/>
      <c r="K201" s="12"/>
    </row>
    <row r="202" spans="1:11" ht="105.75" customHeight="1">
      <c r="A202" s="13" t="s">
        <v>535</v>
      </c>
      <c r="B202" s="14" t="s">
        <v>536</v>
      </c>
      <c r="C202" s="6" t="s">
        <v>19</v>
      </c>
      <c r="D202" s="15">
        <v>41640</v>
      </c>
      <c r="E202" s="15">
        <v>44196</v>
      </c>
      <c r="F202" s="17"/>
      <c r="G202" s="17"/>
      <c r="H202" s="17"/>
      <c r="I202" s="14" t="s">
        <v>537</v>
      </c>
      <c r="J202" s="14" t="s">
        <v>505</v>
      </c>
      <c r="K202" s="14" t="s">
        <v>538</v>
      </c>
    </row>
    <row r="203" spans="1:71" s="14" customFormat="1" ht="105.75" customHeight="1">
      <c r="A203" s="13" t="s">
        <v>539</v>
      </c>
      <c r="B203" s="14" t="s">
        <v>540</v>
      </c>
      <c r="C203" s="6" t="s">
        <v>19</v>
      </c>
      <c r="D203" s="15">
        <v>41640</v>
      </c>
      <c r="E203" s="15">
        <v>44196</v>
      </c>
      <c r="F203" s="17"/>
      <c r="G203" s="17"/>
      <c r="H203" s="17"/>
      <c r="I203" s="14" t="s">
        <v>541</v>
      </c>
      <c r="J203" s="14" t="s">
        <v>505</v>
      </c>
      <c r="K203" s="14" t="s">
        <v>542</v>
      </c>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row>
    <row r="204" spans="1:71" s="14" customFormat="1" ht="105.75" customHeight="1">
      <c r="A204" s="13" t="s">
        <v>543</v>
      </c>
      <c r="B204" s="14" t="s">
        <v>544</v>
      </c>
      <c r="C204" s="6" t="s">
        <v>19</v>
      </c>
      <c r="D204" s="15">
        <v>41640</v>
      </c>
      <c r="E204" s="15">
        <v>44196</v>
      </c>
      <c r="F204" s="17">
        <f>ROUND(396000/1000,1)</f>
        <v>396</v>
      </c>
      <c r="G204" s="17">
        <f>ROUND(396000/1000,1)</f>
        <v>396</v>
      </c>
      <c r="H204" s="17">
        <f>ROUND(396000/1000,1)</f>
        <v>396</v>
      </c>
      <c r="I204" s="14" t="s">
        <v>545</v>
      </c>
      <c r="J204" s="14" t="s">
        <v>505</v>
      </c>
      <c r="K204" s="14" t="s">
        <v>546</v>
      </c>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row>
    <row r="205" spans="1:71" s="14" customFormat="1" ht="115.5" customHeight="1">
      <c r="A205" s="13" t="s">
        <v>547</v>
      </c>
      <c r="B205" s="14" t="s">
        <v>548</v>
      </c>
      <c r="C205" s="6" t="s">
        <v>19</v>
      </c>
      <c r="D205" s="15">
        <v>41640</v>
      </c>
      <c r="E205" s="15">
        <v>44196</v>
      </c>
      <c r="F205" s="17">
        <f>ROUND(100000/1000,1)</f>
        <v>100</v>
      </c>
      <c r="G205" s="17">
        <f>ROUND(100000/1000,1)</f>
        <v>100</v>
      </c>
      <c r="H205" s="17">
        <f>ROUND(100000/1000,1)</f>
        <v>100</v>
      </c>
      <c r="I205" s="30" t="s">
        <v>549</v>
      </c>
      <c r="J205" s="14" t="s">
        <v>505</v>
      </c>
      <c r="K205" s="30" t="s">
        <v>550</v>
      </c>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row>
    <row r="206" spans="1:71" s="14" customFormat="1" ht="284.25" customHeight="1">
      <c r="A206" s="13" t="s">
        <v>551</v>
      </c>
      <c r="B206" s="14" t="s">
        <v>552</v>
      </c>
      <c r="C206" s="6" t="s">
        <v>19</v>
      </c>
      <c r="D206" s="15">
        <v>41640</v>
      </c>
      <c r="E206" s="15">
        <v>44196</v>
      </c>
      <c r="F206" s="17"/>
      <c r="G206" s="17"/>
      <c r="H206" s="31"/>
      <c r="I206" s="30" t="s">
        <v>553</v>
      </c>
      <c r="J206" s="18" t="s">
        <v>505</v>
      </c>
      <c r="K206" s="30" t="s">
        <v>554</v>
      </c>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row>
    <row r="207" spans="1:11" ht="80.25" customHeight="1">
      <c r="A207" s="13"/>
      <c r="B207" s="14"/>
      <c r="C207" s="6"/>
      <c r="D207" s="15"/>
      <c r="E207" s="15"/>
      <c r="F207" s="17"/>
      <c r="G207" s="17"/>
      <c r="H207" s="31"/>
      <c r="I207" s="32" t="s">
        <v>555</v>
      </c>
      <c r="J207" s="18"/>
      <c r="K207" s="33" t="s">
        <v>556</v>
      </c>
    </row>
    <row r="208" spans="1:11" ht="26.25" customHeight="1">
      <c r="A208" s="12" t="s">
        <v>557</v>
      </c>
      <c r="B208" s="12"/>
      <c r="C208" s="12"/>
      <c r="D208" s="12"/>
      <c r="E208" s="12"/>
      <c r="F208" s="12"/>
      <c r="G208" s="12"/>
      <c r="H208" s="12"/>
      <c r="I208" s="12"/>
      <c r="J208" s="12"/>
      <c r="K208" s="12"/>
    </row>
    <row r="209" spans="1:11" ht="165" customHeight="1">
      <c r="A209" s="13" t="s">
        <v>558</v>
      </c>
      <c r="B209" s="14" t="s">
        <v>559</v>
      </c>
      <c r="C209" s="6" t="s">
        <v>560</v>
      </c>
      <c r="D209" s="15">
        <v>41640</v>
      </c>
      <c r="E209" s="15">
        <v>44196</v>
      </c>
      <c r="F209" s="15"/>
      <c r="G209" s="15"/>
      <c r="H209" s="15"/>
      <c r="I209" s="14" t="s">
        <v>561</v>
      </c>
      <c r="J209" s="14" t="s">
        <v>505</v>
      </c>
      <c r="K209" s="14" t="s">
        <v>562</v>
      </c>
    </row>
    <row r="210" spans="1:71" s="14" customFormat="1" ht="86.25" customHeight="1">
      <c r="A210" s="13" t="s">
        <v>563</v>
      </c>
      <c r="B210" s="14" t="s">
        <v>564</v>
      </c>
      <c r="C210" s="6" t="s">
        <v>19</v>
      </c>
      <c r="D210" s="15">
        <v>41640</v>
      </c>
      <c r="E210" s="15">
        <v>44196</v>
      </c>
      <c r="F210" s="15"/>
      <c r="G210" s="15"/>
      <c r="H210" s="15"/>
      <c r="I210" s="14" t="s">
        <v>545</v>
      </c>
      <c r="J210" s="14" t="s">
        <v>505</v>
      </c>
      <c r="K210" s="14" t="s">
        <v>565</v>
      </c>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row>
    <row r="211" spans="1:71" s="14" customFormat="1" ht="88.5" customHeight="1">
      <c r="A211" s="13" t="s">
        <v>566</v>
      </c>
      <c r="B211" s="14" t="s">
        <v>567</v>
      </c>
      <c r="C211" s="6" t="s">
        <v>19</v>
      </c>
      <c r="D211" s="15">
        <v>41640</v>
      </c>
      <c r="E211" s="15">
        <v>44196</v>
      </c>
      <c r="F211" s="15"/>
      <c r="G211" s="15"/>
      <c r="H211" s="15"/>
      <c r="I211" s="14" t="s">
        <v>545</v>
      </c>
      <c r="J211" s="14" t="s">
        <v>505</v>
      </c>
      <c r="K211" s="14" t="s">
        <v>568</v>
      </c>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row>
    <row r="212" spans="1:71" s="14" customFormat="1" ht="87" customHeight="1">
      <c r="A212" s="13" t="s">
        <v>569</v>
      </c>
      <c r="B212" s="14" t="s">
        <v>570</v>
      </c>
      <c r="C212" s="6" t="s">
        <v>19</v>
      </c>
      <c r="D212" s="15">
        <v>41640</v>
      </c>
      <c r="E212" s="15">
        <v>44196</v>
      </c>
      <c r="F212" s="15"/>
      <c r="G212" s="15"/>
      <c r="H212" s="15"/>
      <c r="I212" s="14" t="s">
        <v>545</v>
      </c>
      <c r="J212" s="14" t="s">
        <v>505</v>
      </c>
      <c r="K212" s="14" t="s">
        <v>571</v>
      </c>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row>
    <row r="213" spans="1:11" ht="26.25" customHeight="1">
      <c r="A213" s="12" t="s">
        <v>572</v>
      </c>
      <c r="B213" s="12"/>
      <c r="C213" s="12"/>
      <c r="D213" s="12"/>
      <c r="E213" s="12"/>
      <c r="F213" s="12"/>
      <c r="G213" s="12"/>
      <c r="H213" s="12"/>
      <c r="I213" s="12"/>
      <c r="J213" s="12"/>
      <c r="K213" s="12"/>
    </row>
    <row r="214" spans="1:11" ht="291.75" customHeight="1">
      <c r="A214" s="13" t="s">
        <v>573</v>
      </c>
      <c r="B214" s="14" t="s">
        <v>574</v>
      </c>
      <c r="C214" s="6" t="s">
        <v>19</v>
      </c>
      <c r="D214" s="15">
        <v>41640</v>
      </c>
      <c r="E214" s="15">
        <v>44196</v>
      </c>
      <c r="F214" s="15"/>
      <c r="G214" s="15"/>
      <c r="H214" s="34"/>
      <c r="I214" s="30" t="s">
        <v>575</v>
      </c>
      <c r="J214" s="18" t="s">
        <v>505</v>
      </c>
      <c r="K214" s="30" t="s">
        <v>576</v>
      </c>
    </row>
    <row r="215" spans="1:11" ht="184.5" customHeight="1">
      <c r="A215" s="13"/>
      <c r="B215" s="14"/>
      <c r="C215" s="6"/>
      <c r="D215" s="15"/>
      <c r="E215" s="15"/>
      <c r="F215" s="15"/>
      <c r="G215" s="15"/>
      <c r="H215" s="34"/>
      <c r="I215" s="35" t="s">
        <v>577</v>
      </c>
      <c r="J215" s="18"/>
      <c r="K215" s="33" t="s">
        <v>578</v>
      </c>
    </row>
    <row r="216" spans="1:71" s="14" customFormat="1" ht="166.5" customHeight="1">
      <c r="A216" s="13" t="s">
        <v>579</v>
      </c>
      <c r="B216" s="14" t="s">
        <v>580</v>
      </c>
      <c r="C216" s="6" t="s">
        <v>19</v>
      </c>
      <c r="D216" s="15">
        <v>41640</v>
      </c>
      <c r="E216" s="15">
        <v>44196</v>
      </c>
      <c r="F216" s="15"/>
      <c r="G216" s="15"/>
      <c r="H216" s="15"/>
      <c r="I216" s="33" t="s">
        <v>581</v>
      </c>
      <c r="J216" s="14" t="s">
        <v>505</v>
      </c>
      <c r="K216" s="33" t="s">
        <v>582</v>
      </c>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row>
    <row r="217" spans="1:11" s="21" customFormat="1" ht="24.75" customHeight="1">
      <c r="A217" s="27" t="s">
        <v>583</v>
      </c>
      <c r="B217" s="27"/>
      <c r="C217" s="27"/>
      <c r="D217" s="27"/>
      <c r="E217" s="27"/>
      <c r="F217" s="27"/>
      <c r="G217" s="27"/>
      <c r="H217" s="27"/>
      <c r="I217" s="27"/>
      <c r="J217" s="27"/>
      <c r="K217" s="27"/>
    </row>
    <row r="218" spans="1:11" s="11" customFormat="1" ht="26.25" customHeight="1">
      <c r="A218" s="6" t="s">
        <v>584</v>
      </c>
      <c r="B218" s="6"/>
      <c r="C218" s="6"/>
      <c r="D218" s="6"/>
      <c r="E218" s="6"/>
      <c r="F218" s="6"/>
      <c r="G218" s="6"/>
      <c r="H218" s="6"/>
      <c r="I218" s="6"/>
      <c r="J218" s="6"/>
      <c r="K218" s="6"/>
    </row>
    <row r="219" spans="1:11" s="11" customFormat="1" ht="317.25" customHeight="1">
      <c r="A219" s="13" t="s">
        <v>585</v>
      </c>
      <c r="B219" s="14" t="s">
        <v>586</v>
      </c>
      <c r="C219" s="6" t="s">
        <v>19</v>
      </c>
      <c r="D219" s="15">
        <v>41640</v>
      </c>
      <c r="E219" s="15">
        <v>44196</v>
      </c>
      <c r="F219" s="17"/>
      <c r="G219" s="17"/>
      <c r="H219" s="31"/>
      <c r="I219" s="30" t="s">
        <v>587</v>
      </c>
      <c r="J219" s="36" t="s">
        <v>588</v>
      </c>
      <c r="K219" s="14" t="s">
        <v>589</v>
      </c>
    </row>
    <row r="220" spans="1:11" s="11" customFormat="1" ht="8.25" customHeight="1">
      <c r="A220" s="13"/>
      <c r="B220" s="14"/>
      <c r="C220" s="6"/>
      <c r="D220" s="15"/>
      <c r="E220" s="15"/>
      <c r="F220" s="17"/>
      <c r="G220" s="17"/>
      <c r="H220" s="31"/>
      <c r="I220" s="37"/>
      <c r="J220" s="36"/>
      <c r="K220" s="14"/>
    </row>
    <row r="221" spans="1:11" s="11" customFormat="1" ht="298.5" customHeight="1">
      <c r="A221" s="13" t="s">
        <v>590</v>
      </c>
      <c r="B221" s="14" t="s">
        <v>591</v>
      </c>
      <c r="C221" s="6" t="s">
        <v>19</v>
      </c>
      <c r="D221" s="15">
        <v>41640</v>
      </c>
      <c r="E221" s="15">
        <v>44196</v>
      </c>
      <c r="F221" s="17"/>
      <c r="G221" s="17"/>
      <c r="H221" s="31"/>
      <c r="I221" s="30" t="s">
        <v>592</v>
      </c>
      <c r="J221" s="14" t="s">
        <v>588</v>
      </c>
      <c r="K221" s="14" t="s">
        <v>593</v>
      </c>
    </row>
    <row r="222" spans="1:11" s="11" customFormat="1" ht="85.5" customHeight="1">
      <c r="A222" s="13"/>
      <c r="B222" s="14"/>
      <c r="C222" s="6"/>
      <c r="D222" s="15"/>
      <c r="E222" s="15"/>
      <c r="F222" s="17"/>
      <c r="G222" s="17"/>
      <c r="H222" s="31"/>
      <c r="I222" s="33"/>
      <c r="J222" s="14"/>
      <c r="K222" s="14"/>
    </row>
    <row r="223" spans="1:11" s="11" customFormat="1" ht="151.5" customHeight="1">
      <c r="A223" s="13" t="s">
        <v>594</v>
      </c>
      <c r="B223" s="14" t="s">
        <v>595</v>
      </c>
      <c r="C223" s="6" t="s">
        <v>19</v>
      </c>
      <c r="D223" s="15">
        <v>41640</v>
      </c>
      <c r="E223" s="15">
        <v>44196</v>
      </c>
      <c r="F223" s="17">
        <f>ROUND(409564000/1000,1)</f>
        <v>409564</v>
      </c>
      <c r="G223" s="17">
        <f>ROUND(409564000/1000,1)</f>
        <v>409564</v>
      </c>
      <c r="H223" s="17">
        <f>ROUND(409564000/1000,1)</f>
        <v>409564</v>
      </c>
      <c r="I223" s="33" t="s">
        <v>596</v>
      </c>
      <c r="J223" s="14" t="s">
        <v>588</v>
      </c>
      <c r="K223" s="14" t="s">
        <v>597</v>
      </c>
    </row>
    <row r="224" spans="1:11" s="11" customFormat="1" ht="145.5" customHeight="1">
      <c r="A224" s="13" t="s">
        <v>598</v>
      </c>
      <c r="B224" s="14" t="s">
        <v>599</v>
      </c>
      <c r="C224" s="6" t="s">
        <v>19</v>
      </c>
      <c r="D224" s="15">
        <v>41640</v>
      </c>
      <c r="E224" s="15">
        <v>44196</v>
      </c>
      <c r="F224" s="17">
        <v>117670.4</v>
      </c>
      <c r="G224" s="17">
        <v>117670.4</v>
      </c>
      <c r="H224" s="17">
        <v>117670.4</v>
      </c>
      <c r="I224" s="14" t="s">
        <v>600</v>
      </c>
      <c r="J224" s="14" t="s">
        <v>588</v>
      </c>
      <c r="K224" s="14" t="s">
        <v>601</v>
      </c>
    </row>
    <row r="225" spans="1:11" s="11" customFormat="1" ht="154.5" customHeight="1">
      <c r="A225" s="13" t="s">
        <v>602</v>
      </c>
      <c r="B225" s="14" t="s">
        <v>603</v>
      </c>
      <c r="C225" s="6" t="s">
        <v>19</v>
      </c>
      <c r="D225" s="15">
        <v>41640</v>
      </c>
      <c r="E225" s="15">
        <v>44196</v>
      </c>
      <c r="F225" s="17">
        <v>244571.8</v>
      </c>
      <c r="G225" s="17"/>
      <c r="H225" s="17"/>
      <c r="I225" s="14" t="s">
        <v>604</v>
      </c>
      <c r="J225" s="14" t="s">
        <v>588</v>
      </c>
      <c r="K225" s="14" t="s">
        <v>605</v>
      </c>
    </row>
    <row r="226" spans="1:11" s="11" customFormat="1" ht="176.25" customHeight="1">
      <c r="A226" s="13" t="s">
        <v>606</v>
      </c>
      <c r="B226" s="14" t="s">
        <v>607</v>
      </c>
      <c r="C226" s="6" t="s">
        <v>19</v>
      </c>
      <c r="D226" s="15">
        <v>41640</v>
      </c>
      <c r="E226" s="15">
        <v>44196</v>
      </c>
      <c r="F226" s="17">
        <v>29956.1</v>
      </c>
      <c r="G226" s="17">
        <v>29956.1</v>
      </c>
      <c r="H226" s="17">
        <v>29956.1</v>
      </c>
      <c r="I226" s="14" t="s">
        <v>600</v>
      </c>
      <c r="J226" s="14" t="s">
        <v>588</v>
      </c>
      <c r="K226" s="14" t="s">
        <v>608</v>
      </c>
    </row>
    <row r="227" spans="1:11" s="11" customFormat="1" ht="75" customHeight="1">
      <c r="A227" s="13" t="s">
        <v>609</v>
      </c>
      <c r="B227" s="14" t="s">
        <v>610</v>
      </c>
      <c r="C227" s="6" t="s">
        <v>19</v>
      </c>
      <c r="D227" s="15">
        <v>41640</v>
      </c>
      <c r="E227" s="15">
        <v>44196</v>
      </c>
      <c r="F227" s="17">
        <f>42809.8</f>
        <v>42809.8</v>
      </c>
      <c r="G227" s="17">
        <f>42809.8</f>
        <v>42809.8</v>
      </c>
      <c r="H227" s="17">
        <f>42809.8</f>
        <v>42809.8</v>
      </c>
      <c r="I227" s="14" t="s">
        <v>611</v>
      </c>
      <c r="J227" s="14" t="s">
        <v>588</v>
      </c>
      <c r="K227" s="14" t="s">
        <v>608</v>
      </c>
    </row>
    <row r="228" spans="1:11" s="11" customFormat="1" ht="75" customHeight="1">
      <c r="A228" s="13"/>
      <c r="B228" s="14"/>
      <c r="C228" s="6"/>
      <c r="D228" s="15"/>
      <c r="E228" s="15"/>
      <c r="F228" s="17">
        <v>9510.2</v>
      </c>
      <c r="G228" s="17">
        <v>9510.2</v>
      </c>
      <c r="H228" s="17">
        <v>9510.2</v>
      </c>
      <c r="I228" s="14"/>
      <c r="J228" s="14"/>
      <c r="K228" s="14"/>
    </row>
    <row r="229" spans="1:11" s="11" customFormat="1" ht="26.25" customHeight="1">
      <c r="A229" s="6" t="s">
        <v>612</v>
      </c>
      <c r="B229" s="6"/>
      <c r="C229" s="6"/>
      <c r="D229" s="6"/>
      <c r="E229" s="6"/>
      <c r="F229" s="6"/>
      <c r="G229" s="6"/>
      <c r="H229" s="6"/>
      <c r="I229" s="6"/>
      <c r="J229" s="6"/>
      <c r="K229" s="6"/>
    </row>
    <row r="230" spans="1:11" s="11" customFormat="1" ht="142.5" customHeight="1">
      <c r="A230" s="13" t="s">
        <v>613</v>
      </c>
      <c r="B230" s="14" t="s">
        <v>614</v>
      </c>
      <c r="C230" s="6" t="s">
        <v>19</v>
      </c>
      <c r="D230" s="15">
        <v>41640</v>
      </c>
      <c r="E230" s="15">
        <v>44196</v>
      </c>
      <c r="F230" s="6"/>
      <c r="G230" s="6"/>
      <c r="H230" s="6"/>
      <c r="I230" s="14" t="s">
        <v>615</v>
      </c>
      <c r="J230" s="14" t="s">
        <v>109</v>
      </c>
      <c r="K230" s="14" t="s">
        <v>616</v>
      </c>
    </row>
    <row r="231" spans="1:11" s="11" customFormat="1" ht="118.5" customHeight="1">
      <c r="A231" s="13" t="s">
        <v>617</v>
      </c>
      <c r="B231" s="14" t="s">
        <v>618</v>
      </c>
      <c r="C231" s="6" t="s">
        <v>19</v>
      </c>
      <c r="D231" s="15">
        <v>41640</v>
      </c>
      <c r="E231" s="15">
        <v>44196</v>
      </c>
      <c r="F231" s="6"/>
      <c r="G231" s="6"/>
      <c r="H231" s="6"/>
      <c r="I231" s="14" t="s">
        <v>611</v>
      </c>
      <c r="J231" s="14" t="s">
        <v>109</v>
      </c>
      <c r="K231" s="14" t="s">
        <v>616</v>
      </c>
    </row>
    <row r="232" spans="1:11" s="11" customFormat="1" ht="106.5" customHeight="1">
      <c r="A232" s="13" t="s">
        <v>619</v>
      </c>
      <c r="B232" s="14" t="s">
        <v>620</v>
      </c>
      <c r="C232" s="6" t="s">
        <v>19</v>
      </c>
      <c r="D232" s="15">
        <v>41640</v>
      </c>
      <c r="E232" s="15">
        <v>44196</v>
      </c>
      <c r="F232" s="6"/>
      <c r="G232" s="6"/>
      <c r="H232" s="6"/>
      <c r="I232" s="14" t="s">
        <v>611</v>
      </c>
      <c r="J232" s="14" t="s">
        <v>109</v>
      </c>
      <c r="K232" s="14" t="s">
        <v>616</v>
      </c>
    </row>
    <row r="233" spans="1:11" s="11" customFormat="1" ht="135" customHeight="1">
      <c r="A233" s="13" t="s">
        <v>621</v>
      </c>
      <c r="B233" s="14" t="s">
        <v>622</v>
      </c>
      <c r="C233" s="6" t="s">
        <v>19</v>
      </c>
      <c r="D233" s="15">
        <v>41640</v>
      </c>
      <c r="E233" s="15">
        <v>44196</v>
      </c>
      <c r="F233" s="17">
        <v>19818.4</v>
      </c>
      <c r="G233" s="17">
        <v>19818.4</v>
      </c>
      <c r="H233" s="17">
        <v>19818.4</v>
      </c>
      <c r="I233" s="14" t="s">
        <v>611</v>
      </c>
      <c r="J233" s="14" t="s">
        <v>109</v>
      </c>
      <c r="K233" s="14" t="s">
        <v>616</v>
      </c>
    </row>
    <row r="234" spans="1:11" s="11" customFormat="1" ht="26.25" customHeight="1">
      <c r="A234" s="6" t="s">
        <v>623</v>
      </c>
      <c r="B234" s="6"/>
      <c r="C234" s="6"/>
      <c r="D234" s="6"/>
      <c r="E234" s="6"/>
      <c r="F234" s="6"/>
      <c r="G234" s="6"/>
      <c r="H234" s="6"/>
      <c r="I234" s="6"/>
      <c r="J234" s="6"/>
      <c r="K234" s="6"/>
    </row>
    <row r="235" spans="1:11" s="11" customFormat="1" ht="188.25" customHeight="1">
      <c r="A235" s="13" t="s">
        <v>624</v>
      </c>
      <c r="B235" s="14" t="s">
        <v>625</v>
      </c>
      <c r="C235" s="6" t="s">
        <v>19</v>
      </c>
      <c r="D235" s="15">
        <v>41640</v>
      </c>
      <c r="E235" s="15">
        <v>44196</v>
      </c>
      <c r="F235" s="6"/>
      <c r="G235" s="6"/>
      <c r="H235" s="6"/>
      <c r="I235" s="14" t="s">
        <v>626</v>
      </c>
      <c r="J235" s="14" t="s">
        <v>627</v>
      </c>
      <c r="K235" s="14" t="s">
        <v>628</v>
      </c>
    </row>
    <row r="236" spans="1:71" s="38" customFormat="1" ht="208.5" customHeight="1">
      <c r="A236" s="13" t="s">
        <v>629</v>
      </c>
      <c r="B236" s="14" t="s">
        <v>630</v>
      </c>
      <c r="C236" s="6" t="s">
        <v>19</v>
      </c>
      <c r="D236" s="15">
        <v>41640</v>
      </c>
      <c r="E236" s="15">
        <v>44196</v>
      </c>
      <c r="F236" s="6"/>
      <c r="G236" s="6"/>
      <c r="H236" s="6"/>
      <c r="I236" s="14" t="s">
        <v>631</v>
      </c>
      <c r="J236" s="14" t="s">
        <v>627</v>
      </c>
      <c r="K236" s="14" t="s">
        <v>632</v>
      </c>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row>
    <row r="237" spans="1:11" s="21" customFormat="1" ht="25.5" customHeight="1">
      <c r="A237" s="39" t="s">
        <v>633</v>
      </c>
      <c r="B237" s="39"/>
      <c r="C237" s="39"/>
      <c r="D237" s="39"/>
      <c r="E237" s="39"/>
      <c r="F237" s="39"/>
      <c r="G237" s="39"/>
      <c r="H237" s="39"/>
      <c r="I237" s="39"/>
      <c r="J237" s="39"/>
      <c r="K237" s="39"/>
    </row>
    <row r="238" spans="1:11" ht="25.5" customHeight="1">
      <c r="A238" s="12" t="s">
        <v>634</v>
      </c>
      <c r="B238" s="12"/>
      <c r="C238" s="12"/>
      <c r="D238" s="12"/>
      <c r="E238" s="12"/>
      <c r="F238" s="12"/>
      <c r="G238" s="12"/>
      <c r="H238" s="12"/>
      <c r="I238" s="12"/>
      <c r="J238" s="12"/>
      <c r="K238" s="12"/>
    </row>
    <row r="239" spans="1:11" ht="104.25" customHeight="1">
      <c r="A239" s="13" t="s">
        <v>635</v>
      </c>
      <c r="B239" s="14" t="s">
        <v>636</v>
      </c>
      <c r="C239" s="6" t="s">
        <v>19</v>
      </c>
      <c r="D239" s="15">
        <v>41640</v>
      </c>
      <c r="E239" s="15">
        <v>44196</v>
      </c>
      <c r="F239" s="17">
        <f>ROUND(74997214.21/1000,1)</f>
        <v>74997.2</v>
      </c>
      <c r="G239" s="17">
        <f>ROUND(74997063.58/1000,1)</f>
        <v>74997.1</v>
      </c>
      <c r="H239" s="17">
        <f>ROUND(75444185.78/1000,1)</f>
        <v>75444.2</v>
      </c>
      <c r="I239" s="19" t="s">
        <v>637</v>
      </c>
      <c r="J239" s="14" t="s">
        <v>638</v>
      </c>
      <c r="K239" s="14" t="s">
        <v>639</v>
      </c>
    </row>
    <row r="240" spans="1:11" ht="85.5" customHeight="1">
      <c r="A240" s="13" t="s">
        <v>640</v>
      </c>
      <c r="B240" s="14" t="s">
        <v>641</v>
      </c>
      <c r="C240" s="6" t="s">
        <v>19</v>
      </c>
      <c r="D240" s="15">
        <v>41640</v>
      </c>
      <c r="E240" s="15">
        <v>44196</v>
      </c>
      <c r="F240" s="17">
        <f>ROUND(235587451.44/1000,1)</f>
        <v>235587.5</v>
      </c>
      <c r="G240" s="17">
        <f>ROUND(242447521.57/1000,1)</f>
        <v>242447.5</v>
      </c>
      <c r="H240" s="17">
        <f>ROUND(249417557.95/1000,1)</f>
        <v>249417.6</v>
      </c>
      <c r="I240" s="14" t="s">
        <v>637</v>
      </c>
      <c r="J240" s="14" t="s">
        <v>642</v>
      </c>
      <c r="K240" s="14" t="s">
        <v>639</v>
      </c>
    </row>
    <row r="241" spans="1:11" ht="85.5" customHeight="1">
      <c r="A241" s="13" t="s">
        <v>643</v>
      </c>
      <c r="B241" s="14" t="s">
        <v>644</v>
      </c>
      <c r="C241" s="6" t="s">
        <v>19</v>
      </c>
      <c r="D241" s="15">
        <v>41640</v>
      </c>
      <c r="E241" s="15">
        <v>44196</v>
      </c>
      <c r="F241" s="17">
        <f>ROUND(3069400/1000,1)</f>
        <v>3069.4</v>
      </c>
      <c r="G241" s="17">
        <f>ROUND(3095100/1000,1)</f>
        <v>3095.1</v>
      </c>
      <c r="H241" s="17">
        <f>ROUND(3095100/1000,1)</f>
        <v>3095.1</v>
      </c>
      <c r="I241" s="14" t="s">
        <v>637</v>
      </c>
      <c r="J241" s="14" t="s">
        <v>645</v>
      </c>
      <c r="K241" s="14" t="s">
        <v>639</v>
      </c>
    </row>
    <row r="242" spans="1:11" ht="85.5" customHeight="1">
      <c r="A242" s="13" t="s">
        <v>646</v>
      </c>
      <c r="B242" s="14" t="s">
        <v>647</v>
      </c>
      <c r="C242" s="6" t="s">
        <v>19</v>
      </c>
      <c r="D242" s="15">
        <v>41640</v>
      </c>
      <c r="E242" s="15">
        <v>44196</v>
      </c>
      <c r="F242" s="17">
        <f>ROUND(606429472/1000,1)</f>
        <v>606429.5</v>
      </c>
      <c r="G242" s="17">
        <f>ROUND(609464932/1000,1)</f>
        <v>609464.9</v>
      </c>
      <c r="H242" s="17">
        <f>ROUND(614655327/1000,1)</f>
        <v>614655.3</v>
      </c>
      <c r="I242" s="14" t="s">
        <v>637</v>
      </c>
      <c r="J242" s="14" t="s">
        <v>638</v>
      </c>
      <c r="K242" s="14" t="s">
        <v>639</v>
      </c>
    </row>
    <row r="243" spans="1:11" ht="85.5" customHeight="1">
      <c r="A243" s="13" t="s">
        <v>648</v>
      </c>
      <c r="B243" s="14" t="s">
        <v>649</v>
      </c>
      <c r="C243" s="6" t="s">
        <v>19</v>
      </c>
      <c r="D243" s="15">
        <v>41640</v>
      </c>
      <c r="E243" s="15">
        <v>44196</v>
      </c>
      <c r="F243" s="17">
        <f>ROUND(45673713/1000,1)</f>
        <v>45673.7</v>
      </c>
      <c r="G243" s="17">
        <f>ROUND(45789419/1000,1)</f>
        <v>45789.4</v>
      </c>
      <c r="H243" s="17">
        <v>45907</v>
      </c>
      <c r="I243" s="14" t="s">
        <v>637</v>
      </c>
      <c r="J243" s="14" t="s">
        <v>638</v>
      </c>
      <c r="K243" s="14" t="s">
        <v>639</v>
      </c>
    </row>
    <row r="244" spans="1:11" ht="85.5" customHeight="1">
      <c r="A244" s="13" t="s">
        <v>650</v>
      </c>
      <c r="B244" s="14" t="s">
        <v>651</v>
      </c>
      <c r="C244" s="6" t="s">
        <v>19</v>
      </c>
      <c r="D244" s="15">
        <v>41640</v>
      </c>
      <c r="E244" s="15">
        <v>44196</v>
      </c>
      <c r="F244" s="17"/>
      <c r="G244" s="17"/>
      <c r="H244" s="17"/>
      <c r="I244" s="14" t="s">
        <v>637</v>
      </c>
      <c r="J244" s="14" t="s">
        <v>638</v>
      </c>
      <c r="K244" s="14" t="s">
        <v>639</v>
      </c>
    </row>
    <row r="245" spans="1:11" ht="85.5" customHeight="1">
      <c r="A245" s="13" t="s">
        <v>652</v>
      </c>
      <c r="B245" s="14" t="s">
        <v>653</v>
      </c>
      <c r="C245" s="6" t="s">
        <v>19</v>
      </c>
      <c r="D245" s="15">
        <v>41640</v>
      </c>
      <c r="E245" s="15">
        <v>44196</v>
      </c>
      <c r="F245" s="17">
        <v>4535.7</v>
      </c>
      <c r="G245" s="17">
        <v>0</v>
      </c>
      <c r="H245" s="17">
        <v>0</v>
      </c>
      <c r="I245" s="14" t="s">
        <v>637</v>
      </c>
      <c r="J245" s="14" t="s">
        <v>638</v>
      </c>
      <c r="K245" s="14" t="s">
        <v>639</v>
      </c>
    </row>
    <row r="246" spans="1:11" ht="25.5" customHeight="1">
      <c r="A246" s="12" t="s">
        <v>654</v>
      </c>
      <c r="B246" s="12"/>
      <c r="C246" s="12"/>
      <c r="D246" s="12"/>
      <c r="E246" s="12"/>
      <c r="F246" s="12"/>
      <c r="G246" s="12"/>
      <c r="H246" s="12"/>
      <c r="I246" s="12"/>
      <c r="J246" s="12"/>
      <c r="K246" s="12"/>
    </row>
    <row r="247" spans="1:11" ht="106.5" customHeight="1">
      <c r="A247" s="13" t="s">
        <v>655</v>
      </c>
      <c r="B247" s="14" t="s">
        <v>656</v>
      </c>
      <c r="C247" s="6" t="s">
        <v>19</v>
      </c>
      <c r="D247" s="15">
        <v>41640</v>
      </c>
      <c r="E247" s="15">
        <v>44196</v>
      </c>
      <c r="F247" s="17">
        <f>ROUND(5158992100/1000,1)</f>
        <v>5158992.1</v>
      </c>
      <c r="G247" s="17">
        <f>ROUND(6735521800/1000,1)</f>
        <v>6735521.8</v>
      </c>
      <c r="H247" s="17">
        <f>ROUND(6735521800/1000,1)</f>
        <v>6735521.8</v>
      </c>
      <c r="I247" s="19" t="s">
        <v>657</v>
      </c>
      <c r="J247" s="14" t="s">
        <v>658</v>
      </c>
      <c r="K247" s="14" t="s">
        <v>659</v>
      </c>
    </row>
    <row r="248" spans="1:11" ht="111" customHeight="1">
      <c r="A248" s="13" t="s">
        <v>660</v>
      </c>
      <c r="B248" s="14" t="s">
        <v>661</v>
      </c>
      <c r="C248" s="6" t="s">
        <v>19</v>
      </c>
      <c r="D248" s="15">
        <v>41640</v>
      </c>
      <c r="E248" s="15">
        <v>44196</v>
      </c>
      <c r="F248" s="17">
        <f>ROUND(768949900/1000,1)</f>
        <v>768949.9</v>
      </c>
      <c r="G248" s="17">
        <v>0</v>
      </c>
      <c r="H248" s="17">
        <v>0</v>
      </c>
      <c r="I248" s="14" t="s">
        <v>657</v>
      </c>
      <c r="J248" s="14" t="s">
        <v>658</v>
      </c>
      <c r="K248" s="14" t="s">
        <v>659</v>
      </c>
    </row>
    <row r="249" spans="1:11" s="21" customFormat="1" ht="25.5" customHeight="1">
      <c r="A249" s="40" t="s">
        <v>662</v>
      </c>
      <c r="B249" s="40"/>
      <c r="C249" s="40"/>
      <c r="D249" s="40"/>
      <c r="E249" s="40"/>
      <c r="F249" s="40"/>
      <c r="G249" s="40"/>
      <c r="H249" s="40"/>
      <c r="I249" s="40"/>
      <c r="J249" s="40"/>
      <c r="K249" s="40"/>
    </row>
    <row r="250" spans="1:11" ht="26.25" customHeight="1">
      <c r="A250" s="12" t="s">
        <v>663</v>
      </c>
      <c r="B250" s="12"/>
      <c r="C250" s="12"/>
      <c r="D250" s="12"/>
      <c r="E250" s="12"/>
      <c r="F250" s="12"/>
      <c r="G250" s="12"/>
      <c r="H250" s="12"/>
      <c r="I250" s="12"/>
      <c r="J250" s="12"/>
      <c r="K250" s="12"/>
    </row>
    <row r="251" spans="1:11" ht="81.75" customHeight="1">
      <c r="A251" s="13" t="s">
        <v>664</v>
      </c>
      <c r="B251" s="14" t="s">
        <v>665</v>
      </c>
      <c r="C251" s="6" t="s">
        <v>19</v>
      </c>
      <c r="D251" s="15">
        <v>41640</v>
      </c>
      <c r="E251" s="15">
        <v>44196</v>
      </c>
      <c r="F251" s="15"/>
      <c r="G251" s="15"/>
      <c r="H251" s="15"/>
      <c r="I251" s="14" t="s">
        <v>666</v>
      </c>
      <c r="J251" s="14" t="s">
        <v>667</v>
      </c>
      <c r="K251" s="14" t="s">
        <v>668</v>
      </c>
    </row>
    <row r="252" spans="1:11" ht="96.75" customHeight="1">
      <c r="A252" s="13" t="s">
        <v>669</v>
      </c>
      <c r="B252" s="14" t="s">
        <v>670</v>
      </c>
      <c r="C252" s="6" t="s">
        <v>19</v>
      </c>
      <c r="D252" s="15">
        <v>41640</v>
      </c>
      <c r="E252" s="15">
        <v>44196</v>
      </c>
      <c r="F252" s="15"/>
      <c r="G252" s="15"/>
      <c r="H252" s="15"/>
      <c r="I252" s="14" t="s">
        <v>666</v>
      </c>
      <c r="J252" s="14" t="s">
        <v>667</v>
      </c>
      <c r="K252" s="14" t="s">
        <v>668</v>
      </c>
    </row>
    <row r="253" spans="1:11" ht="87" customHeight="1">
      <c r="A253" s="13" t="s">
        <v>671</v>
      </c>
      <c r="B253" s="14" t="s">
        <v>672</v>
      </c>
      <c r="C253" s="6" t="s">
        <v>19</v>
      </c>
      <c r="D253" s="15">
        <v>41640</v>
      </c>
      <c r="E253" s="15">
        <v>44196</v>
      </c>
      <c r="F253" s="15"/>
      <c r="G253" s="15"/>
      <c r="H253" s="15"/>
      <c r="I253" s="14" t="s">
        <v>666</v>
      </c>
      <c r="J253" s="14" t="s">
        <v>673</v>
      </c>
      <c r="K253" s="14" t="s">
        <v>668</v>
      </c>
    </row>
    <row r="254" spans="1:11" ht="36.75" customHeight="1">
      <c r="A254" s="12" t="s">
        <v>674</v>
      </c>
      <c r="B254" s="12"/>
      <c r="C254" s="12"/>
      <c r="D254" s="12"/>
      <c r="E254" s="12"/>
      <c r="F254" s="12"/>
      <c r="G254" s="12"/>
      <c r="H254" s="12"/>
      <c r="I254" s="12"/>
      <c r="J254" s="12"/>
      <c r="K254" s="12"/>
    </row>
    <row r="255" spans="1:11" ht="120.75" customHeight="1">
      <c r="A255" s="13" t="s">
        <v>675</v>
      </c>
      <c r="B255" s="14" t="s">
        <v>676</v>
      </c>
      <c r="C255" s="6" t="s">
        <v>19</v>
      </c>
      <c r="D255" s="15">
        <v>41640</v>
      </c>
      <c r="E255" s="15">
        <v>44196</v>
      </c>
      <c r="F255" s="15"/>
      <c r="G255" s="15"/>
      <c r="H255" s="15"/>
      <c r="I255" s="14" t="s">
        <v>677</v>
      </c>
      <c r="J255" s="14" t="s">
        <v>678</v>
      </c>
      <c r="K255" s="14" t="s">
        <v>679</v>
      </c>
    </row>
    <row r="256" spans="1:11" ht="120.75" customHeight="1">
      <c r="A256" s="13" t="s">
        <v>680</v>
      </c>
      <c r="B256" s="14" t="s">
        <v>681</v>
      </c>
      <c r="C256" s="6" t="s">
        <v>19</v>
      </c>
      <c r="D256" s="15">
        <v>41640</v>
      </c>
      <c r="E256" s="15">
        <v>44196</v>
      </c>
      <c r="F256" s="15"/>
      <c r="G256" s="15"/>
      <c r="H256" s="15"/>
      <c r="I256" s="14" t="s">
        <v>682</v>
      </c>
      <c r="J256" s="14" t="s">
        <v>683</v>
      </c>
      <c r="K256" s="14" t="s">
        <v>679</v>
      </c>
    </row>
    <row r="257" spans="1:11" s="21" customFormat="1" ht="20.25" customHeight="1">
      <c r="A257" s="39" t="s">
        <v>684</v>
      </c>
      <c r="B257" s="39"/>
      <c r="C257" s="39"/>
      <c r="D257" s="39"/>
      <c r="E257" s="39"/>
      <c r="F257" s="39"/>
      <c r="G257" s="39"/>
      <c r="H257" s="39"/>
      <c r="I257" s="39"/>
      <c r="J257" s="39"/>
      <c r="K257" s="39"/>
    </row>
    <row r="258" spans="1:11" ht="36.75" customHeight="1">
      <c r="A258" s="12" t="s">
        <v>685</v>
      </c>
      <c r="B258" s="12"/>
      <c r="C258" s="12"/>
      <c r="D258" s="12"/>
      <c r="E258" s="12"/>
      <c r="F258" s="12"/>
      <c r="G258" s="12"/>
      <c r="H258" s="12"/>
      <c r="I258" s="12"/>
      <c r="J258" s="12"/>
      <c r="K258" s="12"/>
    </row>
    <row r="259" spans="1:11" ht="124.5" customHeight="1">
      <c r="A259" s="13" t="s">
        <v>686</v>
      </c>
      <c r="B259" s="14" t="s">
        <v>687</v>
      </c>
      <c r="C259" s="6" t="s">
        <v>688</v>
      </c>
      <c r="D259" s="15">
        <v>41640</v>
      </c>
      <c r="E259" s="15">
        <v>44196</v>
      </c>
      <c r="F259" s="15"/>
      <c r="G259" s="15"/>
      <c r="H259" s="15"/>
      <c r="I259" s="14" t="s">
        <v>689</v>
      </c>
      <c r="J259" s="14" t="s">
        <v>690</v>
      </c>
      <c r="K259" s="14" t="s">
        <v>691</v>
      </c>
    </row>
    <row r="260" spans="1:11" ht="124.5" customHeight="1">
      <c r="A260" s="13" t="s">
        <v>692</v>
      </c>
      <c r="B260" s="14" t="s">
        <v>693</v>
      </c>
      <c r="C260" s="6" t="s">
        <v>688</v>
      </c>
      <c r="D260" s="15">
        <v>41640</v>
      </c>
      <c r="E260" s="15">
        <v>44196</v>
      </c>
      <c r="F260" s="15"/>
      <c r="G260" s="15"/>
      <c r="H260" s="15"/>
      <c r="I260" s="14" t="s">
        <v>694</v>
      </c>
      <c r="J260" s="14" t="s">
        <v>695</v>
      </c>
      <c r="K260" s="14" t="s">
        <v>696</v>
      </c>
    </row>
    <row r="261" spans="1:11" ht="124.5" customHeight="1">
      <c r="A261" s="13" t="s">
        <v>697</v>
      </c>
      <c r="B261" s="14" t="s">
        <v>698</v>
      </c>
      <c r="C261" s="6" t="s">
        <v>688</v>
      </c>
      <c r="D261" s="15">
        <v>41640</v>
      </c>
      <c r="E261" s="15">
        <v>44196</v>
      </c>
      <c r="F261" s="15"/>
      <c r="G261" s="15"/>
      <c r="H261" s="15"/>
      <c r="I261" s="14" t="s">
        <v>694</v>
      </c>
      <c r="J261" s="14" t="s">
        <v>695</v>
      </c>
      <c r="K261" s="14" t="s">
        <v>696</v>
      </c>
    </row>
    <row r="262" spans="1:11" ht="124.5" customHeight="1">
      <c r="A262" s="13" t="s">
        <v>699</v>
      </c>
      <c r="B262" s="14" t="s">
        <v>700</v>
      </c>
      <c r="C262" s="6" t="s">
        <v>688</v>
      </c>
      <c r="D262" s="15">
        <v>41640</v>
      </c>
      <c r="E262" s="15">
        <v>44196</v>
      </c>
      <c r="F262" s="15"/>
      <c r="G262" s="15"/>
      <c r="H262" s="15"/>
      <c r="I262" s="14" t="s">
        <v>701</v>
      </c>
      <c r="J262" s="14" t="s">
        <v>702</v>
      </c>
      <c r="K262" s="14" t="s">
        <v>703</v>
      </c>
    </row>
    <row r="263" spans="1:11" ht="139.5" customHeight="1">
      <c r="A263" s="13" t="s">
        <v>704</v>
      </c>
      <c r="B263" s="14" t="s">
        <v>705</v>
      </c>
      <c r="C263" s="6" t="s">
        <v>688</v>
      </c>
      <c r="D263" s="15">
        <v>41640</v>
      </c>
      <c r="E263" s="15">
        <v>44196</v>
      </c>
      <c r="F263" s="15"/>
      <c r="G263" s="15"/>
      <c r="H263" s="15"/>
      <c r="I263" s="14" t="s">
        <v>706</v>
      </c>
      <c r="J263" s="14" t="s">
        <v>707</v>
      </c>
      <c r="K263" s="14" t="s">
        <v>703</v>
      </c>
    </row>
    <row r="264" spans="1:11" ht="24.75" customHeight="1">
      <c r="A264" s="12" t="s">
        <v>708</v>
      </c>
      <c r="B264" s="12"/>
      <c r="C264" s="12"/>
      <c r="D264" s="12"/>
      <c r="E264" s="12"/>
      <c r="F264" s="12"/>
      <c r="G264" s="12"/>
      <c r="H264" s="12"/>
      <c r="I264" s="12"/>
      <c r="J264" s="12"/>
      <c r="K264" s="12"/>
    </row>
    <row r="265" spans="1:11" ht="126.75" customHeight="1">
      <c r="A265" s="13" t="s">
        <v>709</v>
      </c>
      <c r="B265" s="14" t="s">
        <v>710</v>
      </c>
      <c r="C265" s="6" t="s">
        <v>19</v>
      </c>
      <c r="D265" s="15">
        <v>41640</v>
      </c>
      <c r="E265" s="15">
        <v>44196</v>
      </c>
      <c r="F265" s="15"/>
      <c r="G265" s="15"/>
      <c r="H265" s="15"/>
      <c r="I265" s="14" t="s">
        <v>711</v>
      </c>
      <c r="J265" s="14" t="s">
        <v>712</v>
      </c>
      <c r="K265" s="14" t="s">
        <v>713</v>
      </c>
    </row>
    <row r="266" spans="1:11" ht="141" customHeight="1">
      <c r="A266" s="13" t="s">
        <v>714</v>
      </c>
      <c r="B266" s="14" t="s">
        <v>715</v>
      </c>
      <c r="C266" s="6" t="s">
        <v>19</v>
      </c>
      <c r="D266" s="15">
        <v>41640</v>
      </c>
      <c r="E266" s="15">
        <v>44196</v>
      </c>
      <c r="F266" s="15"/>
      <c r="G266" s="15"/>
      <c r="H266" s="15"/>
      <c r="I266" s="14" t="s">
        <v>716</v>
      </c>
      <c r="J266" s="14" t="s">
        <v>717</v>
      </c>
      <c r="K266" s="14" t="s">
        <v>718</v>
      </c>
    </row>
    <row r="267" spans="1:11" ht="35.25" customHeight="1">
      <c r="A267" s="12" t="s">
        <v>719</v>
      </c>
      <c r="B267" s="12"/>
      <c r="C267" s="12"/>
      <c r="D267" s="12"/>
      <c r="E267" s="12"/>
      <c r="F267" s="12"/>
      <c r="G267" s="12"/>
      <c r="H267" s="12"/>
      <c r="I267" s="12"/>
      <c r="J267" s="12"/>
      <c r="K267" s="12"/>
    </row>
    <row r="268" spans="1:11" ht="131.25" customHeight="1">
      <c r="A268" s="13" t="s">
        <v>720</v>
      </c>
      <c r="B268" s="14" t="s">
        <v>721</v>
      </c>
      <c r="C268" s="6" t="s">
        <v>688</v>
      </c>
      <c r="D268" s="15">
        <v>41640</v>
      </c>
      <c r="E268" s="15">
        <v>44196</v>
      </c>
      <c r="F268" s="15"/>
      <c r="G268" s="15"/>
      <c r="H268" s="15"/>
      <c r="I268" s="14" t="s">
        <v>722</v>
      </c>
      <c r="J268" s="14" t="s">
        <v>723</v>
      </c>
      <c r="K268" s="14" t="s">
        <v>724</v>
      </c>
    </row>
    <row r="269" spans="1:11" ht="114" customHeight="1">
      <c r="A269" s="13" t="s">
        <v>725</v>
      </c>
      <c r="B269" s="14" t="s">
        <v>726</v>
      </c>
      <c r="C269" s="6" t="s">
        <v>688</v>
      </c>
      <c r="D269" s="15">
        <v>41640</v>
      </c>
      <c r="E269" s="15">
        <v>44196</v>
      </c>
      <c r="F269" s="15"/>
      <c r="G269" s="15"/>
      <c r="H269" s="15"/>
      <c r="I269" s="14" t="s">
        <v>727</v>
      </c>
      <c r="J269" s="14" t="s">
        <v>723</v>
      </c>
      <c r="K269" s="14" t="s">
        <v>728</v>
      </c>
    </row>
    <row r="270" spans="1:11" s="21" customFormat="1" ht="25.5" customHeight="1">
      <c r="A270" s="39" t="s">
        <v>729</v>
      </c>
      <c r="B270" s="39"/>
      <c r="C270" s="39"/>
      <c r="D270" s="39"/>
      <c r="E270" s="39"/>
      <c r="F270" s="39"/>
      <c r="G270" s="39"/>
      <c r="H270" s="39"/>
      <c r="I270" s="39"/>
      <c r="J270" s="39"/>
      <c r="K270" s="39"/>
    </row>
    <row r="271" spans="1:11" ht="25.5" customHeight="1">
      <c r="A271" s="12" t="s">
        <v>730</v>
      </c>
      <c r="B271" s="12"/>
      <c r="C271" s="12"/>
      <c r="D271" s="12"/>
      <c r="E271" s="12"/>
      <c r="F271" s="12"/>
      <c r="G271" s="12"/>
      <c r="H271" s="12"/>
      <c r="I271" s="12"/>
      <c r="J271" s="12"/>
      <c r="K271" s="12"/>
    </row>
    <row r="272" spans="1:11" ht="84.75" customHeight="1">
      <c r="A272" s="13" t="s">
        <v>731</v>
      </c>
      <c r="B272" s="14" t="s">
        <v>732</v>
      </c>
      <c r="C272" s="6" t="s">
        <v>19</v>
      </c>
      <c r="D272" s="15">
        <v>41640</v>
      </c>
      <c r="E272" s="15">
        <v>44196</v>
      </c>
      <c r="F272" s="15"/>
      <c r="G272" s="15"/>
      <c r="H272" s="15"/>
      <c r="I272" s="19" t="s">
        <v>733</v>
      </c>
      <c r="J272" s="14" t="s">
        <v>734</v>
      </c>
      <c r="K272" s="14" t="s">
        <v>735</v>
      </c>
    </row>
    <row r="273" spans="1:11" ht="90.75" customHeight="1">
      <c r="A273" s="13" t="s">
        <v>736</v>
      </c>
      <c r="B273" s="14" t="s">
        <v>737</v>
      </c>
      <c r="C273" s="6" t="s">
        <v>19</v>
      </c>
      <c r="D273" s="15">
        <v>41640</v>
      </c>
      <c r="E273" s="15">
        <v>44196</v>
      </c>
      <c r="F273" s="15"/>
      <c r="G273" s="15"/>
      <c r="H273" s="15"/>
      <c r="I273" s="19" t="s">
        <v>738</v>
      </c>
      <c r="J273" s="14" t="s">
        <v>734</v>
      </c>
      <c r="K273" s="14" t="s">
        <v>739</v>
      </c>
    </row>
    <row r="274" spans="1:11" ht="25.5" customHeight="1">
      <c r="A274" s="12" t="s">
        <v>740</v>
      </c>
      <c r="B274" s="12"/>
      <c r="C274" s="12"/>
      <c r="D274" s="12"/>
      <c r="E274" s="12"/>
      <c r="F274" s="12"/>
      <c r="G274" s="12"/>
      <c r="H274" s="12"/>
      <c r="I274" s="12"/>
      <c r="J274" s="12"/>
      <c r="K274" s="12"/>
    </row>
    <row r="275" spans="1:11" ht="87" customHeight="1">
      <c r="A275" s="13" t="s">
        <v>741</v>
      </c>
      <c r="B275" s="14" t="s">
        <v>742</v>
      </c>
      <c r="C275" s="6" t="s">
        <v>19</v>
      </c>
      <c r="D275" s="15">
        <v>41640</v>
      </c>
      <c r="E275" s="15">
        <v>44196</v>
      </c>
      <c r="F275" s="15"/>
      <c r="G275" s="15"/>
      <c r="H275" s="15"/>
      <c r="I275" s="19" t="s">
        <v>743</v>
      </c>
      <c r="J275" s="14" t="s">
        <v>734</v>
      </c>
      <c r="K275" s="14" t="s">
        <v>744</v>
      </c>
    </row>
    <row r="276" spans="1:11" ht="90.75" customHeight="1">
      <c r="A276" s="13" t="s">
        <v>745</v>
      </c>
      <c r="B276" s="14" t="s">
        <v>746</v>
      </c>
      <c r="C276" s="6" t="s">
        <v>19</v>
      </c>
      <c r="D276" s="15">
        <v>41640</v>
      </c>
      <c r="E276" s="15">
        <v>44196</v>
      </c>
      <c r="F276" s="15"/>
      <c r="G276" s="15"/>
      <c r="H276" s="15"/>
      <c r="I276" s="14" t="s">
        <v>743</v>
      </c>
      <c r="J276" s="14" t="s">
        <v>734</v>
      </c>
      <c r="K276" s="14" t="s">
        <v>744</v>
      </c>
    </row>
    <row r="277" spans="1:11" ht="94.5" customHeight="1">
      <c r="A277" s="13" t="s">
        <v>747</v>
      </c>
      <c r="B277" s="14" t="s">
        <v>748</v>
      </c>
      <c r="C277" s="6" t="s">
        <v>19</v>
      </c>
      <c r="D277" s="15">
        <v>41640</v>
      </c>
      <c r="E277" s="15">
        <v>44196</v>
      </c>
      <c r="F277" s="15"/>
      <c r="G277" s="15"/>
      <c r="H277" s="15"/>
      <c r="I277" s="14" t="s">
        <v>743</v>
      </c>
      <c r="J277" s="14" t="s">
        <v>734</v>
      </c>
      <c r="K277" s="14" t="s">
        <v>744</v>
      </c>
    </row>
    <row r="278" spans="1:11" ht="87.75" customHeight="1">
      <c r="A278" s="13" t="s">
        <v>749</v>
      </c>
      <c r="B278" s="14" t="s">
        <v>750</v>
      </c>
      <c r="C278" s="6" t="s">
        <v>19</v>
      </c>
      <c r="D278" s="15">
        <v>41640</v>
      </c>
      <c r="E278" s="15">
        <v>44196</v>
      </c>
      <c r="F278" s="15"/>
      <c r="G278" s="15"/>
      <c r="H278" s="15"/>
      <c r="I278" s="14" t="s">
        <v>743</v>
      </c>
      <c r="J278" s="14" t="s">
        <v>734</v>
      </c>
      <c r="K278" s="14" t="s">
        <v>744</v>
      </c>
    </row>
    <row r="280" spans="6:8" ht="21">
      <c r="F280" s="41"/>
      <c r="G280" s="41"/>
      <c r="H280" s="41"/>
    </row>
    <row r="281" spans="6:8" ht="21">
      <c r="F281" s="41"/>
      <c r="G281" s="41"/>
      <c r="H281" s="41"/>
    </row>
    <row r="282" spans="6:8" ht="57">
      <c r="F282" s="41">
        <f>F248+F247+F245+F243+F242+F241+F240+F239+F233+F228+F227+F226+F225+F224+F223+F205+F204+F198+F193+F182+F180+F175+F169+F168+F167+F161+F142+F141+F134+F133+F131+F127+F126+F114+F113+F111+F110+F108+F107+F98+F95+F91+F90+F88+F86+F84+F82+F80+F77+F76+F75+F72+F71+F68+F58+F56+F50+F49+F47+F45+F44+F40+F39+F26+F25+F23+F22+F17+F14+F12</f>
        <v>13184703.700000005</v>
      </c>
      <c r="G282" s="41">
        <f>G248+G247+G245+G243+G242+G241+G240+G239+G233+G228+G227+G226+G225+G224+G223+G205+G204+G198+G193+G182+G180+G175+G169+G168+G167+G161+G142+G141+G134+G133+G131+G127+G126+G114+G113+G111+G110+G108+G107+G98+G95+G91+G90+G88+G86+G84+G82+G80+G77+G76+G75+G72+G71+G68+G58+G56+G50+G49+G47+G45+G44+G40+G39+G26+G25+G23+G22+G17+G14+G12</f>
        <v>13959975.900000004</v>
      </c>
      <c r="H282" s="41">
        <f>H248+H247+H245+H243+H242+H241+H240+H239+H233+H228+H227+H226+H225+H224+H223+H205+H204+H198+H193+H182+H180+H175+H169+H168+H167+H161+H142+H141+H134+H133+H131+H127+H126+H114+H113+H111+H110+H108+H107+H98+H95+H91+H90+H88+H86+H84+H82+H80+H77+H76+H75+H72+H71+H68+H58+H56+H50+H49+H47+H45+H44+H40+H39+H26+H25+H23+H22+H17+H14+H12</f>
        <v>13342954.500000002</v>
      </c>
    </row>
    <row r="284" spans="6:8" ht="57">
      <c r="F284" s="41">
        <f>F23+F72+F88+F108+F168</f>
        <v>1324118</v>
      </c>
      <c r="G284" s="41">
        <f>G23+G72+G88+G108+G168</f>
        <v>1499500</v>
      </c>
      <c r="H284" s="41">
        <f>H23+H72+H88+H108+H168</f>
        <v>828247.7</v>
      </c>
    </row>
  </sheetData>
  <sheetProtection selectLockedCells="1" selectUnlockedCells="1"/>
  <autoFilter ref="A6:BS278"/>
  <mergeCells count="123">
    <mergeCell ref="J1:K1"/>
    <mergeCell ref="B2:K2"/>
    <mergeCell ref="A4:A5"/>
    <mergeCell ref="B4:B5"/>
    <mergeCell ref="C4:C5"/>
    <mergeCell ref="D4:E4"/>
    <mergeCell ref="F4:H4"/>
    <mergeCell ref="I4:I5"/>
    <mergeCell ref="J4:J5"/>
    <mergeCell ref="K4:K5"/>
    <mergeCell ref="A7:K7"/>
    <mergeCell ref="A8:K8"/>
    <mergeCell ref="A13:K13"/>
    <mergeCell ref="A24:K24"/>
    <mergeCell ref="A28:K28"/>
    <mergeCell ref="A35:K35"/>
    <mergeCell ref="A36:K36"/>
    <mergeCell ref="A43:K43"/>
    <mergeCell ref="A48:K48"/>
    <mergeCell ref="A55:K55"/>
    <mergeCell ref="A60:K60"/>
    <mergeCell ref="A66:K66"/>
    <mergeCell ref="A73:K73"/>
    <mergeCell ref="A78:K78"/>
    <mergeCell ref="A83:K83"/>
    <mergeCell ref="A89:K89"/>
    <mergeCell ref="A94:K94"/>
    <mergeCell ref="A100:K100"/>
    <mergeCell ref="A101:K101"/>
    <mergeCell ref="A109:K109"/>
    <mergeCell ref="A110:A111"/>
    <mergeCell ref="B110:B111"/>
    <mergeCell ref="C110:C111"/>
    <mergeCell ref="I110:I111"/>
    <mergeCell ref="J110:J111"/>
    <mergeCell ref="K110:K111"/>
    <mergeCell ref="A113:A114"/>
    <mergeCell ref="B113:B114"/>
    <mergeCell ref="C113:C114"/>
    <mergeCell ref="I113:I114"/>
    <mergeCell ref="J113:J114"/>
    <mergeCell ref="K113:K114"/>
    <mergeCell ref="A116:K116"/>
    <mergeCell ref="A121:K121"/>
    <mergeCell ref="A135:K135"/>
    <mergeCell ref="A139:K139"/>
    <mergeCell ref="A143:K143"/>
    <mergeCell ref="A144:K144"/>
    <mergeCell ref="A150:K150"/>
    <mergeCell ref="A158:K158"/>
    <mergeCell ref="A166:K166"/>
    <mergeCell ref="A173:K173"/>
    <mergeCell ref="A174:K174"/>
    <mergeCell ref="A181:K181"/>
    <mergeCell ref="A187:K187"/>
    <mergeCell ref="A188:K188"/>
    <mergeCell ref="A192:K192"/>
    <mergeCell ref="A201:K201"/>
    <mergeCell ref="A206:A207"/>
    <mergeCell ref="B206:B207"/>
    <mergeCell ref="C206:C207"/>
    <mergeCell ref="D206:D207"/>
    <mergeCell ref="E206:E207"/>
    <mergeCell ref="F206:F207"/>
    <mergeCell ref="G206:G207"/>
    <mergeCell ref="H206:H207"/>
    <mergeCell ref="J206:J207"/>
    <mergeCell ref="A208:K208"/>
    <mergeCell ref="A213:K213"/>
    <mergeCell ref="A214:A215"/>
    <mergeCell ref="B214:B215"/>
    <mergeCell ref="C214:C215"/>
    <mergeCell ref="D214:D215"/>
    <mergeCell ref="E214:E215"/>
    <mergeCell ref="F214:F215"/>
    <mergeCell ref="G214:G215"/>
    <mergeCell ref="H214:H215"/>
    <mergeCell ref="J214:J215"/>
    <mergeCell ref="A217:K217"/>
    <mergeCell ref="A218:K218"/>
    <mergeCell ref="A219:A220"/>
    <mergeCell ref="B219:B220"/>
    <mergeCell ref="C219:C220"/>
    <mergeCell ref="D219:D220"/>
    <mergeCell ref="E219:E220"/>
    <mergeCell ref="F219:F220"/>
    <mergeCell ref="G219:G220"/>
    <mergeCell ref="H219:H220"/>
    <mergeCell ref="J219:J220"/>
    <mergeCell ref="K219:K220"/>
    <mergeCell ref="A221:A222"/>
    <mergeCell ref="B221:B222"/>
    <mergeCell ref="C221:C222"/>
    <mergeCell ref="D221:D222"/>
    <mergeCell ref="E221:E222"/>
    <mergeCell ref="F221:F222"/>
    <mergeCell ref="G221:G222"/>
    <mergeCell ref="H221:H222"/>
    <mergeCell ref="J221:J222"/>
    <mergeCell ref="K221:K222"/>
    <mergeCell ref="A227:A228"/>
    <mergeCell ref="B227:B228"/>
    <mergeCell ref="C227:C228"/>
    <mergeCell ref="D227:D228"/>
    <mergeCell ref="E227:E228"/>
    <mergeCell ref="I227:I228"/>
    <mergeCell ref="J227:J228"/>
    <mergeCell ref="K227:K228"/>
    <mergeCell ref="A229:K229"/>
    <mergeCell ref="A234:K234"/>
    <mergeCell ref="A237:K237"/>
    <mergeCell ref="A238:K238"/>
    <mergeCell ref="A246:K246"/>
    <mergeCell ref="A249:K249"/>
    <mergeCell ref="A250:K250"/>
    <mergeCell ref="A254:K254"/>
    <mergeCell ref="A257:K257"/>
    <mergeCell ref="A258:K258"/>
    <mergeCell ref="A264:K264"/>
    <mergeCell ref="A267:K267"/>
    <mergeCell ref="A270:K270"/>
    <mergeCell ref="A271:K271"/>
    <mergeCell ref="A274:K274"/>
  </mergeCells>
  <printOptions/>
  <pageMargins left="0.7" right="0.7" top="0.75" bottom="0.75" header="0.5118055555555555" footer="0.5118055555555555"/>
  <pageSetup fitToHeight="0" fitToWidth="1" horizontalDpi="300" verticalDpi="300" orientation="landscape" paperSize="9"/>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P242"/>
  <sheetViews>
    <sheetView view="pageBreakPreview" zoomScale="90" zoomScaleNormal="60" zoomScaleSheetLayoutView="90" workbookViewId="0" topLeftCell="B2">
      <selection activeCell="B16" sqref="B16"/>
    </sheetView>
  </sheetViews>
  <sheetFormatPr defaultColWidth="9.140625" defaultRowHeight="84" customHeight="1"/>
  <cols>
    <col min="1" max="1" width="39.421875" style="42" customWidth="1"/>
    <col min="2" max="2" width="87.140625" style="42" customWidth="1"/>
    <col min="3" max="3" width="52.00390625" style="42" customWidth="1"/>
    <col min="4" max="8" width="0" style="43" hidden="1" customWidth="1"/>
    <col min="9" max="11" width="21.57421875" style="43" customWidth="1"/>
    <col min="12" max="12" width="0" style="43" hidden="1" customWidth="1"/>
    <col min="13" max="13" width="18.28125" style="42" customWidth="1"/>
    <col min="14" max="14" width="17.7109375" style="42" customWidth="1"/>
    <col min="15" max="15" width="17.00390625" style="42" customWidth="1"/>
    <col min="16" max="16" width="18.57421875" style="42" customWidth="1"/>
    <col min="17" max="16384" width="9.140625" style="42" customWidth="1"/>
  </cols>
  <sheetData>
    <row r="1" spans="1:12" s="44" customFormat="1" ht="24.75" customHeight="1">
      <c r="A1" s="44" t="s">
        <v>751</v>
      </c>
      <c r="D1" s="45"/>
      <c r="E1" s="45"/>
      <c r="F1" s="45"/>
      <c r="G1" s="45"/>
      <c r="H1" s="45"/>
      <c r="I1" s="45"/>
      <c r="J1" s="46" t="s">
        <v>752</v>
      </c>
      <c r="K1" s="46"/>
      <c r="L1" s="47"/>
    </row>
    <row r="2" spans="1:12" s="44" customFormat="1" ht="60.75" customHeight="1">
      <c r="A2" s="48" t="s">
        <v>753</v>
      </c>
      <c r="B2" s="48"/>
      <c r="C2" s="48"/>
      <c r="D2" s="48"/>
      <c r="E2" s="48"/>
      <c r="F2" s="48"/>
      <c r="G2" s="48"/>
      <c r="H2" s="48"/>
      <c r="I2" s="48"/>
      <c r="J2" s="48"/>
      <c r="K2" s="48"/>
      <c r="L2" s="48"/>
    </row>
    <row r="3" spans="1:12" s="44" customFormat="1" ht="24.75" customHeight="1">
      <c r="A3" s="49" t="s">
        <v>754</v>
      </c>
      <c r="B3" s="49" t="s">
        <v>755</v>
      </c>
      <c r="C3" s="50" t="s">
        <v>756</v>
      </c>
      <c r="D3" s="51" t="s">
        <v>757</v>
      </c>
      <c r="E3" s="51"/>
      <c r="F3" s="51"/>
      <c r="G3" s="51"/>
      <c r="H3" s="52" t="s">
        <v>758</v>
      </c>
      <c r="I3" s="52"/>
      <c r="J3" s="52"/>
      <c r="K3" s="52"/>
      <c r="L3" s="52"/>
    </row>
    <row r="4" spans="1:12" s="44" customFormat="1" ht="63" customHeight="1">
      <c r="A4" s="49"/>
      <c r="B4" s="49"/>
      <c r="C4" s="49"/>
      <c r="D4" s="52" t="s">
        <v>759</v>
      </c>
      <c r="E4" s="53" t="s">
        <v>760</v>
      </c>
      <c r="F4" s="52" t="s">
        <v>761</v>
      </c>
      <c r="G4" s="51" t="s">
        <v>762</v>
      </c>
      <c r="H4" s="52" t="s">
        <v>763</v>
      </c>
      <c r="I4" s="52" t="s">
        <v>764</v>
      </c>
      <c r="J4" s="52" t="s">
        <v>765</v>
      </c>
      <c r="K4" s="52" t="s">
        <v>766</v>
      </c>
      <c r="L4" s="52" t="s">
        <v>767</v>
      </c>
    </row>
    <row r="5" spans="1:13" s="59" customFormat="1" ht="39" customHeight="1">
      <c r="A5" s="54" t="s">
        <v>768</v>
      </c>
      <c r="B5" s="54" t="s">
        <v>769</v>
      </c>
      <c r="C5" s="55" t="s">
        <v>770</v>
      </c>
      <c r="D5" s="54"/>
      <c r="E5" s="54" t="s">
        <v>771</v>
      </c>
      <c r="F5" s="54" t="s">
        <v>771</v>
      </c>
      <c r="G5" s="54" t="s">
        <v>771</v>
      </c>
      <c r="H5" s="56" t="e">
        <f>H8+H34+H90+H129+H157+H169+H192+H207+H217+H223+H233</f>
        <v>#VALUE!</v>
      </c>
      <c r="I5" s="56">
        <f>I8+I34+I90+I129+I157+I169+I192+I207+I217+I223+I233-0.1</f>
        <v>13184703.4</v>
      </c>
      <c r="J5" s="56">
        <f>J8+J34+J90+J129+J157+J169+J192+J207+J217+J223+J233</f>
        <v>13959975.8</v>
      </c>
      <c r="K5" s="56">
        <f>K8+K34+K90+K129+K157+K169+K192+K207+K217+K223+K233</f>
        <v>13342954.6</v>
      </c>
      <c r="L5" s="57">
        <f aca="true" t="shared" si="0" ref="L5:L100">I5+J5+K5</f>
        <v>40487633.800000004</v>
      </c>
      <c r="M5" s="58"/>
    </row>
    <row r="6" spans="1:15" s="59" customFormat="1" ht="39" customHeight="1">
      <c r="A6" s="54"/>
      <c r="B6" s="54"/>
      <c r="C6" s="55" t="s">
        <v>772</v>
      </c>
      <c r="D6" s="54">
        <v>854</v>
      </c>
      <c r="E6" s="54" t="s">
        <v>771</v>
      </c>
      <c r="F6" s="54" t="s">
        <v>771</v>
      </c>
      <c r="G6" s="54" t="s">
        <v>771</v>
      </c>
      <c r="H6" s="60" t="e">
        <f>H5-H7</f>
        <v>#VALUE!</v>
      </c>
      <c r="I6" s="60">
        <f>I5-I7</f>
        <v>11860585.4</v>
      </c>
      <c r="J6" s="60">
        <f>J5-J7</f>
        <v>12460475.8</v>
      </c>
      <c r="K6" s="60">
        <f>K5-K7</f>
        <v>12514706.9</v>
      </c>
      <c r="L6" s="61">
        <f t="shared" si="0"/>
        <v>36835768.1</v>
      </c>
      <c r="M6" s="58"/>
      <c r="N6" s="58"/>
      <c r="O6" s="58"/>
    </row>
    <row r="7" spans="1:16" s="59" customFormat="1" ht="58.5" customHeight="1">
      <c r="A7" s="54"/>
      <c r="B7" s="54"/>
      <c r="C7" s="55" t="s">
        <v>773</v>
      </c>
      <c r="D7" s="54">
        <v>828</v>
      </c>
      <c r="E7" s="54" t="s">
        <v>771</v>
      </c>
      <c r="F7" s="54" t="s">
        <v>771</v>
      </c>
      <c r="G7" s="54" t="s">
        <v>771</v>
      </c>
      <c r="H7" s="60">
        <f>H9+H35+H91+H130</f>
        <v>0</v>
      </c>
      <c r="I7" s="60">
        <f>I9+I35+I91+I130</f>
        <v>1324118</v>
      </c>
      <c r="J7" s="60">
        <f>J9+J35+J91+J130</f>
        <v>1499500</v>
      </c>
      <c r="K7" s="60">
        <f>K9+K35+K91+K130</f>
        <v>828247.7</v>
      </c>
      <c r="L7" s="61">
        <f t="shared" si="0"/>
        <v>3651865.7</v>
      </c>
      <c r="M7" s="58"/>
      <c r="N7" s="58"/>
      <c r="O7" s="58"/>
      <c r="P7" s="58"/>
    </row>
    <row r="8" spans="1:16" s="59" customFormat="1" ht="39" customHeight="1">
      <c r="A8" s="54" t="s">
        <v>774</v>
      </c>
      <c r="B8" s="62" t="s">
        <v>775</v>
      </c>
      <c r="C8" s="55" t="s">
        <v>770</v>
      </c>
      <c r="D8" s="54"/>
      <c r="E8" s="63" t="s">
        <v>776</v>
      </c>
      <c r="F8" s="63" t="s">
        <v>776</v>
      </c>
      <c r="G8" s="63" t="s">
        <v>776</v>
      </c>
      <c r="H8" s="60" t="e">
        <f>#REF!+#REF!+#REF!+#REF!</f>
        <v>#VALUE!</v>
      </c>
      <c r="I8" s="60">
        <f>I9+I10</f>
        <v>1041629.1</v>
      </c>
      <c r="J8" s="60">
        <f>J9+J10</f>
        <v>1097956.2</v>
      </c>
      <c r="K8" s="60">
        <f>K9+K10</f>
        <v>1103881.2</v>
      </c>
      <c r="L8" s="61">
        <f t="shared" si="0"/>
        <v>3243466.5</v>
      </c>
      <c r="M8" s="58"/>
      <c r="N8" s="58"/>
      <c r="O8" s="58"/>
      <c r="P8" s="58"/>
    </row>
    <row r="9" spans="1:12" s="59" customFormat="1" ht="39" customHeight="1">
      <c r="A9" s="54"/>
      <c r="B9" s="54"/>
      <c r="C9" s="55" t="s">
        <v>773</v>
      </c>
      <c r="D9" s="54">
        <v>828</v>
      </c>
      <c r="E9" s="63"/>
      <c r="F9" s="63"/>
      <c r="G9" s="63"/>
      <c r="H9" s="60">
        <f>H24</f>
        <v>0</v>
      </c>
      <c r="I9" s="60">
        <f>I24</f>
        <v>50000</v>
      </c>
      <c r="J9" s="60">
        <f>J24</f>
        <v>100000</v>
      </c>
      <c r="K9" s="60">
        <f>K24</f>
        <v>100000</v>
      </c>
      <c r="L9" s="61">
        <f t="shared" si="0"/>
        <v>250000</v>
      </c>
    </row>
    <row r="10" spans="1:13" s="59" customFormat="1" ht="38.25" customHeight="1">
      <c r="A10" s="54"/>
      <c r="B10" s="54"/>
      <c r="C10" s="55" t="s">
        <v>777</v>
      </c>
      <c r="D10" s="54">
        <v>854</v>
      </c>
      <c r="E10" s="63"/>
      <c r="F10" s="63"/>
      <c r="G10" s="63"/>
      <c r="H10" s="60" t="e">
        <f>H8-H9</f>
        <v>#VALUE!</v>
      </c>
      <c r="I10" s="60">
        <f>SUM(I11:I33)-I24</f>
        <v>991629.1</v>
      </c>
      <c r="J10" s="60">
        <f>SUM(J11:J33)-J24</f>
        <v>997956.2</v>
      </c>
      <c r="K10" s="60">
        <f>SUM(K11:K33)-K24</f>
        <v>1003881.2</v>
      </c>
      <c r="L10" s="61">
        <f t="shared" si="0"/>
        <v>2993466.5</v>
      </c>
      <c r="M10" s="58"/>
    </row>
    <row r="11" spans="1:12" s="44" customFormat="1" ht="43.5" customHeight="1">
      <c r="A11" s="64" t="s">
        <v>778</v>
      </c>
      <c r="B11" s="19" t="s">
        <v>779</v>
      </c>
      <c r="C11" s="65" t="s">
        <v>777</v>
      </c>
      <c r="D11" s="66"/>
      <c r="E11" s="66"/>
      <c r="F11" s="52"/>
      <c r="G11" s="52"/>
      <c r="H11" s="67"/>
      <c r="I11" s="67"/>
      <c r="J11" s="67"/>
      <c r="K11" s="67"/>
      <c r="L11" s="67">
        <f t="shared" si="0"/>
        <v>0</v>
      </c>
    </row>
    <row r="12" spans="1:12" s="44" customFormat="1" ht="43.5" customHeight="1">
      <c r="A12" s="64" t="s">
        <v>780</v>
      </c>
      <c r="B12" s="19" t="s">
        <v>781</v>
      </c>
      <c r="C12" s="65" t="s">
        <v>777</v>
      </c>
      <c r="D12" s="66"/>
      <c r="E12" s="66"/>
      <c r="F12" s="52"/>
      <c r="G12" s="52"/>
      <c r="H12" s="67"/>
      <c r="I12" s="67"/>
      <c r="J12" s="67"/>
      <c r="K12" s="67"/>
      <c r="L12" s="67">
        <f t="shared" si="0"/>
        <v>0</v>
      </c>
    </row>
    <row r="13" spans="1:12" s="44" customFormat="1" ht="43.5" customHeight="1">
      <c r="A13" s="64" t="s">
        <v>782</v>
      </c>
      <c r="B13" s="19" t="s">
        <v>783</v>
      </c>
      <c r="C13" s="65" t="s">
        <v>777</v>
      </c>
      <c r="D13" s="66"/>
      <c r="E13" s="68"/>
      <c r="F13" s="53"/>
      <c r="G13" s="52"/>
      <c r="H13" s="67"/>
      <c r="I13" s="67"/>
      <c r="J13" s="67"/>
      <c r="K13" s="67"/>
      <c r="L13" s="67">
        <f t="shared" si="0"/>
        <v>0</v>
      </c>
    </row>
    <row r="14" spans="1:14" s="44" customFormat="1" ht="55.5" customHeight="1">
      <c r="A14" s="64" t="s">
        <v>784</v>
      </c>
      <c r="B14" s="19" t="s">
        <v>785</v>
      </c>
      <c r="C14" s="65" t="s">
        <v>777</v>
      </c>
      <c r="D14" s="66">
        <v>854</v>
      </c>
      <c r="E14" s="68" t="s">
        <v>786</v>
      </c>
      <c r="F14" s="53" t="s">
        <v>787</v>
      </c>
      <c r="G14" s="52">
        <v>612</v>
      </c>
      <c r="H14" s="67"/>
      <c r="I14" s="67">
        <f>ROUND(64310/1000,1)</f>
        <v>64.3</v>
      </c>
      <c r="J14" s="67">
        <f>ROUND(64310/1000,1)</f>
        <v>64.3</v>
      </c>
      <c r="K14" s="67">
        <f>ROUND(64310/1000,1)</f>
        <v>64.3</v>
      </c>
      <c r="L14" s="67">
        <f t="shared" si="0"/>
        <v>192.89999999999998</v>
      </c>
      <c r="M14" s="69"/>
      <c r="N14" s="69"/>
    </row>
    <row r="15" spans="1:12" s="44" customFormat="1" ht="42" customHeight="1">
      <c r="A15" s="64" t="s">
        <v>788</v>
      </c>
      <c r="B15" s="65" t="s">
        <v>789</v>
      </c>
      <c r="C15" s="65" t="s">
        <v>777</v>
      </c>
      <c r="D15" s="66">
        <v>854</v>
      </c>
      <c r="E15" s="68" t="s">
        <v>786</v>
      </c>
      <c r="F15" s="53" t="s">
        <v>790</v>
      </c>
      <c r="G15" s="52">
        <v>611</v>
      </c>
      <c r="H15" s="67"/>
      <c r="I15" s="67">
        <f>ROUND(156000000/1000,1)</f>
        <v>156000</v>
      </c>
      <c r="J15" s="67">
        <f>ROUND(156000000/1000,1)</f>
        <v>156000</v>
      </c>
      <c r="K15" s="67">
        <f>ROUND(156000000/1000,1)</f>
        <v>156000</v>
      </c>
      <c r="L15" s="67">
        <f t="shared" si="0"/>
        <v>468000</v>
      </c>
    </row>
    <row r="16" spans="1:12" s="44" customFormat="1" ht="42" customHeight="1">
      <c r="A16" s="64" t="s">
        <v>791</v>
      </c>
      <c r="B16" s="65" t="s">
        <v>792</v>
      </c>
      <c r="C16" s="65" t="s">
        <v>777</v>
      </c>
      <c r="D16" s="66"/>
      <c r="E16" s="68"/>
      <c r="F16" s="53"/>
      <c r="G16" s="52"/>
      <c r="H16" s="67"/>
      <c r="I16" s="67"/>
      <c r="J16" s="67"/>
      <c r="K16" s="67"/>
      <c r="L16" s="67">
        <f t="shared" si="0"/>
        <v>0</v>
      </c>
    </row>
    <row r="17" spans="1:12" s="44" customFormat="1" ht="42" customHeight="1">
      <c r="A17" s="64" t="s">
        <v>793</v>
      </c>
      <c r="B17" s="65" t="s">
        <v>794</v>
      </c>
      <c r="C17" s="65" t="s">
        <v>777</v>
      </c>
      <c r="D17" s="66"/>
      <c r="E17" s="68"/>
      <c r="F17" s="52"/>
      <c r="G17" s="52"/>
      <c r="H17" s="67"/>
      <c r="I17" s="67"/>
      <c r="J17" s="67"/>
      <c r="K17" s="67"/>
      <c r="L17" s="67">
        <f t="shared" si="0"/>
        <v>0</v>
      </c>
    </row>
    <row r="18" spans="1:12" s="44" customFormat="1" ht="78.75" customHeight="1">
      <c r="A18" s="64" t="s">
        <v>795</v>
      </c>
      <c r="B18" s="19" t="s">
        <v>796</v>
      </c>
      <c r="C18" s="65" t="s">
        <v>777</v>
      </c>
      <c r="D18" s="66">
        <v>854</v>
      </c>
      <c r="E18" s="68" t="s">
        <v>797</v>
      </c>
      <c r="F18" s="53" t="s">
        <v>798</v>
      </c>
      <c r="G18" s="52" t="s">
        <v>799</v>
      </c>
      <c r="H18" s="67"/>
      <c r="I18" s="67">
        <f>ROUND(649567578/1000,1)</f>
        <v>649567.6</v>
      </c>
      <c r="J18" s="67">
        <f>ROUND(655395655/1000,1)</f>
        <v>655395.7</v>
      </c>
      <c r="K18" s="67">
        <f>ROUND(661320687/1000,1)</f>
        <v>661320.7</v>
      </c>
      <c r="L18" s="67">
        <f t="shared" si="0"/>
        <v>1966283.9999999998</v>
      </c>
    </row>
    <row r="19" spans="1:12" s="44" customFormat="1" ht="60" customHeight="1">
      <c r="A19" s="64" t="s">
        <v>800</v>
      </c>
      <c r="B19" s="65" t="s">
        <v>801</v>
      </c>
      <c r="C19" s="65" t="s">
        <v>777</v>
      </c>
      <c r="D19" s="66"/>
      <c r="E19" s="68"/>
      <c r="F19" s="52"/>
      <c r="G19" s="52"/>
      <c r="H19" s="67"/>
      <c r="I19" s="67"/>
      <c r="J19" s="67"/>
      <c r="K19" s="67"/>
      <c r="L19" s="67">
        <f t="shared" si="0"/>
        <v>0</v>
      </c>
    </row>
    <row r="20" spans="1:12" s="44" customFormat="1" ht="60" customHeight="1">
      <c r="A20" s="64" t="s">
        <v>802</v>
      </c>
      <c r="B20" s="19" t="s">
        <v>803</v>
      </c>
      <c r="C20" s="65" t="s">
        <v>777</v>
      </c>
      <c r="D20" s="66"/>
      <c r="E20" s="68"/>
      <c r="F20" s="52"/>
      <c r="G20" s="52"/>
      <c r="H20" s="67"/>
      <c r="I20" s="67"/>
      <c r="J20" s="67"/>
      <c r="K20" s="67"/>
      <c r="L20" s="67">
        <f t="shared" si="0"/>
        <v>0</v>
      </c>
    </row>
    <row r="21" spans="1:12" s="44" customFormat="1" ht="60" customHeight="1">
      <c r="A21" s="64" t="s">
        <v>804</v>
      </c>
      <c r="B21" s="65" t="s">
        <v>805</v>
      </c>
      <c r="C21" s="65" t="s">
        <v>777</v>
      </c>
      <c r="D21" s="66"/>
      <c r="E21" s="68"/>
      <c r="F21" s="52"/>
      <c r="G21" s="52"/>
      <c r="H21" s="67"/>
      <c r="I21" s="67"/>
      <c r="J21" s="67"/>
      <c r="K21" s="67"/>
      <c r="L21" s="67">
        <f t="shared" si="0"/>
        <v>0</v>
      </c>
    </row>
    <row r="22" spans="1:12" s="44" customFormat="1" ht="42.75" customHeight="1">
      <c r="A22" s="64" t="s">
        <v>806</v>
      </c>
      <c r="B22" s="19" t="s">
        <v>807</v>
      </c>
      <c r="C22" s="65" t="s">
        <v>777</v>
      </c>
      <c r="D22" s="66"/>
      <c r="E22" s="68"/>
      <c r="F22" s="52"/>
      <c r="G22" s="52"/>
      <c r="H22" s="67"/>
      <c r="I22" s="67"/>
      <c r="J22" s="67"/>
      <c r="K22" s="67"/>
      <c r="L22" s="67">
        <f t="shared" si="0"/>
        <v>0</v>
      </c>
    </row>
    <row r="23" spans="1:12" s="70" customFormat="1" ht="62.25" customHeight="1">
      <c r="A23" s="64" t="s">
        <v>808</v>
      </c>
      <c r="B23" s="65" t="s">
        <v>809</v>
      </c>
      <c r="C23" s="65" t="s">
        <v>777</v>
      </c>
      <c r="D23" s="66">
        <v>854</v>
      </c>
      <c r="E23" s="68" t="s">
        <v>810</v>
      </c>
      <c r="F23" s="49" t="s">
        <v>811</v>
      </c>
      <c r="G23" s="49" t="s">
        <v>812</v>
      </c>
      <c r="H23" s="67"/>
      <c r="I23" s="67">
        <f>ROUND(146708309/1000,1)+1500</f>
        <v>148208.3</v>
      </c>
      <c r="J23" s="67">
        <f>ROUND(148707309/1000,1)</f>
        <v>148707.3</v>
      </c>
      <c r="K23" s="67">
        <f>ROUND(148707309/1000,1)</f>
        <v>148707.3</v>
      </c>
      <c r="L23" s="67">
        <f t="shared" si="0"/>
        <v>445622.89999999997</v>
      </c>
    </row>
    <row r="24" spans="1:12" s="44" customFormat="1" ht="42.75" customHeight="1">
      <c r="A24" s="64" t="s">
        <v>788</v>
      </c>
      <c r="B24" s="71" t="s">
        <v>813</v>
      </c>
      <c r="C24" s="65" t="s">
        <v>773</v>
      </c>
      <c r="D24" s="66">
        <v>828</v>
      </c>
      <c r="E24" s="68" t="s">
        <v>814</v>
      </c>
      <c r="F24" s="52" t="s">
        <v>815</v>
      </c>
      <c r="G24" s="52">
        <v>414</v>
      </c>
      <c r="H24" s="67"/>
      <c r="I24" s="67">
        <f>'[1]Таблица 7а'!$J$12</f>
        <v>50000</v>
      </c>
      <c r="J24" s="67">
        <f>'[1]Таблица 7а'!$K$12</f>
        <v>100000</v>
      </c>
      <c r="K24" s="67">
        <f>'[1]Таблица 7а'!$L$12</f>
        <v>100000</v>
      </c>
      <c r="L24" s="67">
        <f t="shared" si="0"/>
        <v>250000</v>
      </c>
    </row>
    <row r="25" spans="1:13" s="44" customFormat="1" ht="80.25" customHeight="1">
      <c r="A25" s="64" t="s">
        <v>816</v>
      </c>
      <c r="B25" s="65" t="s">
        <v>817</v>
      </c>
      <c r="C25" s="65" t="s">
        <v>777</v>
      </c>
      <c r="D25" s="66">
        <v>854</v>
      </c>
      <c r="E25" s="68" t="s">
        <v>786</v>
      </c>
      <c r="F25" s="52" t="s">
        <v>818</v>
      </c>
      <c r="G25" s="52">
        <v>612</v>
      </c>
      <c r="H25" s="67">
        <v>0</v>
      </c>
      <c r="I25" s="67">
        <f>ROUND(15000000/1000,1)</f>
        <v>15000</v>
      </c>
      <c r="J25" s="67">
        <f>ROUND(15000000/1000,1)</f>
        <v>15000</v>
      </c>
      <c r="K25" s="67">
        <f>ROUND(15000000/1000,1)</f>
        <v>15000</v>
      </c>
      <c r="L25" s="67">
        <f t="shared" si="0"/>
        <v>45000</v>
      </c>
      <c r="M25" s="69"/>
    </row>
    <row r="26" spans="1:12" s="44" customFormat="1" ht="61.5" customHeight="1">
      <c r="A26" s="64" t="s">
        <v>819</v>
      </c>
      <c r="B26" s="65" t="s">
        <v>820</v>
      </c>
      <c r="C26" s="65" t="s">
        <v>777</v>
      </c>
      <c r="D26" s="66">
        <v>854</v>
      </c>
      <c r="E26" s="68" t="s">
        <v>786</v>
      </c>
      <c r="F26" s="52" t="s">
        <v>821</v>
      </c>
      <c r="G26" s="49">
        <v>612</v>
      </c>
      <c r="H26" s="67"/>
      <c r="I26" s="67">
        <f>ROUND(22788909/1000,1)</f>
        <v>22788.9</v>
      </c>
      <c r="J26" s="67">
        <f>ROUND(22788909/1000,1)</f>
        <v>22788.9</v>
      </c>
      <c r="K26" s="67">
        <f>ROUND(22788909/1000,1)</f>
        <v>22788.9</v>
      </c>
      <c r="L26" s="67">
        <f t="shared" si="0"/>
        <v>68366.70000000001</v>
      </c>
    </row>
    <row r="27" spans="1:12" s="70" customFormat="1" ht="56.25" customHeight="1">
      <c r="A27" s="64" t="s">
        <v>822</v>
      </c>
      <c r="B27" s="65" t="s">
        <v>823</v>
      </c>
      <c r="C27" s="65" t="s">
        <v>777</v>
      </c>
      <c r="D27" s="66"/>
      <c r="E27" s="66"/>
      <c r="F27" s="68"/>
      <c r="G27" s="49"/>
      <c r="H27" s="67"/>
      <c r="I27" s="67"/>
      <c r="J27" s="67"/>
      <c r="K27" s="67"/>
      <c r="L27" s="67">
        <f t="shared" si="0"/>
        <v>0</v>
      </c>
    </row>
    <row r="28" spans="1:12" s="44" customFormat="1" ht="58.5" customHeight="1">
      <c r="A28" s="64" t="s">
        <v>824</v>
      </c>
      <c r="B28" s="19" t="s">
        <v>825</v>
      </c>
      <c r="C28" s="65" t="s">
        <v>777</v>
      </c>
      <c r="D28" s="66"/>
      <c r="E28" s="68"/>
      <c r="F28" s="53"/>
      <c r="G28" s="52"/>
      <c r="H28" s="67"/>
      <c r="I28" s="67"/>
      <c r="J28" s="67"/>
      <c r="K28" s="67"/>
      <c r="L28" s="67">
        <f t="shared" si="0"/>
        <v>0</v>
      </c>
    </row>
    <row r="29" spans="1:12" s="44" customFormat="1" ht="57.75" customHeight="1">
      <c r="A29" s="64" t="s">
        <v>826</v>
      </c>
      <c r="B29" s="19" t="s">
        <v>827</v>
      </c>
      <c r="C29" s="65" t="s">
        <v>777</v>
      </c>
      <c r="D29" s="66"/>
      <c r="E29" s="68"/>
      <c r="F29" s="68"/>
      <c r="G29" s="49"/>
      <c r="H29" s="67"/>
      <c r="I29" s="67"/>
      <c r="J29" s="67"/>
      <c r="K29" s="67"/>
      <c r="L29" s="67">
        <f t="shared" si="0"/>
        <v>0</v>
      </c>
    </row>
    <row r="30" spans="1:12" s="44" customFormat="1" ht="54" customHeight="1">
      <c r="A30" s="64" t="s">
        <v>828</v>
      </c>
      <c r="B30" s="19" t="s">
        <v>829</v>
      </c>
      <c r="C30" s="65" t="s">
        <v>777</v>
      </c>
      <c r="D30" s="66"/>
      <c r="E30" s="68"/>
      <c r="F30" s="53"/>
      <c r="G30" s="52"/>
      <c r="H30" s="67"/>
      <c r="I30" s="67"/>
      <c r="J30" s="67"/>
      <c r="K30" s="67"/>
      <c r="L30" s="67">
        <f t="shared" si="0"/>
        <v>0</v>
      </c>
    </row>
    <row r="31" spans="1:12" s="44" customFormat="1" ht="42" customHeight="1">
      <c r="A31" s="64" t="s">
        <v>830</v>
      </c>
      <c r="B31" s="19" t="s">
        <v>831</v>
      </c>
      <c r="C31" s="65" t="s">
        <v>777</v>
      </c>
      <c r="D31" s="66"/>
      <c r="E31" s="66"/>
      <c r="F31" s="53"/>
      <c r="G31" s="52"/>
      <c r="H31" s="67"/>
      <c r="I31" s="67"/>
      <c r="J31" s="67"/>
      <c r="K31" s="67"/>
      <c r="L31" s="67">
        <f t="shared" si="0"/>
        <v>0</v>
      </c>
    </row>
    <row r="32" spans="1:12" s="44" customFormat="1" ht="42" customHeight="1">
      <c r="A32" s="64" t="s">
        <v>832</v>
      </c>
      <c r="B32" s="65" t="s">
        <v>833</v>
      </c>
      <c r="C32" s="65" t="s">
        <v>777</v>
      </c>
      <c r="D32" s="66"/>
      <c r="E32" s="66"/>
      <c r="F32" s="53"/>
      <c r="G32" s="52"/>
      <c r="H32" s="67"/>
      <c r="I32" s="67"/>
      <c r="J32" s="67"/>
      <c r="K32" s="67"/>
      <c r="L32" s="67">
        <f t="shared" si="0"/>
        <v>0</v>
      </c>
    </row>
    <row r="33" spans="1:12" s="44" customFormat="1" ht="42" customHeight="1">
      <c r="A33" s="64" t="s">
        <v>834</v>
      </c>
      <c r="B33" s="65" t="s">
        <v>835</v>
      </c>
      <c r="C33" s="65" t="s">
        <v>777</v>
      </c>
      <c r="D33" s="66"/>
      <c r="E33" s="66"/>
      <c r="F33" s="53"/>
      <c r="G33" s="52"/>
      <c r="H33" s="67"/>
      <c r="I33" s="67"/>
      <c r="J33" s="67"/>
      <c r="K33" s="67"/>
      <c r="L33" s="67">
        <f t="shared" si="0"/>
        <v>0</v>
      </c>
    </row>
    <row r="34" spans="1:13" s="59" customFormat="1" ht="38.25" customHeight="1">
      <c r="A34" s="54" t="s">
        <v>836</v>
      </c>
      <c r="B34" s="72" t="s">
        <v>837</v>
      </c>
      <c r="C34" s="55" t="s">
        <v>770</v>
      </c>
      <c r="D34" s="54"/>
      <c r="E34" s="63" t="s">
        <v>776</v>
      </c>
      <c r="F34" s="63" t="s">
        <v>776</v>
      </c>
      <c r="G34" s="63" t="s">
        <v>776</v>
      </c>
      <c r="H34" s="60" t="e">
        <f>#REF!+#REF!+#REF!+#REF!+#REF!+#REF!+#REF!+#REF!+#REF!+#REF!+#REF!</f>
        <v>#VALUE!</v>
      </c>
      <c r="I34" s="60">
        <f>I35+I36</f>
        <v>2286998.8000000003</v>
      </c>
      <c r="J34" s="60">
        <f>J35+J36</f>
        <v>2987264.9000000004</v>
      </c>
      <c r="K34" s="60">
        <f>K35+K36</f>
        <v>2846189.5</v>
      </c>
      <c r="L34" s="61">
        <f t="shared" si="0"/>
        <v>8120453.200000001</v>
      </c>
      <c r="M34" s="44"/>
    </row>
    <row r="35" spans="1:13" s="59" customFormat="1" ht="54" customHeight="1">
      <c r="A35" s="54"/>
      <c r="B35" s="72"/>
      <c r="C35" s="55" t="s">
        <v>773</v>
      </c>
      <c r="D35" s="54">
        <v>828</v>
      </c>
      <c r="E35" s="63"/>
      <c r="F35" s="63"/>
      <c r="G35" s="63"/>
      <c r="H35" s="60">
        <f>H67+H80</f>
        <v>0</v>
      </c>
      <c r="I35" s="60">
        <f>I67+I80</f>
        <v>227618</v>
      </c>
      <c r="J35" s="60">
        <f>J67+J80</f>
        <v>899500</v>
      </c>
      <c r="K35" s="60">
        <f>K67+K80</f>
        <v>728247.7</v>
      </c>
      <c r="L35" s="61">
        <f t="shared" si="0"/>
        <v>1855365.7</v>
      </c>
      <c r="M35" s="58"/>
    </row>
    <row r="36" spans="1:13" s="59" customFormat="1" ht="38.25" customHeight="1">
      <c r="A36" s="54"/>
      <c r="B36" s="72"/>
      <c r="C36" s="55" t="s">
        <v>777</v>
      </c>
      <c r="D36" s="54">
        <v>854</v>
      </c>
      <c r="E36" s="63"/>
      <c r="F36" s="63"/>
      <c r="G36" s="63"/>
      <c r="H36" s="60" t="e">
        <f>H34-H35</f>
        <v>#VALUE!</v>
      </c>
      <c r="I36" s="60">
        <f>SUM(I37:I89)-I67-I80-0.1</f>
        <v>2059380.8000000003</v>
      </c>
      <c r="J36" s="60">
        <f>SUM(J37:J89)-J67-J80-0.2</f>
        <v>2087764.9000000006</v>
      </c>
      <c r="K36" s="60">
        <f>SUM(K37:K89)-K67-K80-0.1</f>
        <v>2117941.8</v>
      </c>
      <c r="L36" s="61">
        <f t="shared" si="0"/>
        <v>6265087.500000001</v>
      </c>
      <c r="M36" s="58"/>
    </row>
    <row r="37" spans="1:13" s="44" customFormat="1" ht="43.5" customHeight="1">
      <c r="A37" s="64" t="s">
        <v>838</v>
      </c>
      <c r="B37" s="19" t="s">
        <v>839</v>
      </c>
      <c r="C37" s="65" t="s">
        <v>777</v>
      </c>
      <c r="D37" s="66"/>
      <c r="E37" s="66"/>
      <c r="F37" s="53"/>
      <c r="G37" s="52"/>
      <c r="H37" s="67"/>
      <c r="I37" s="67"/>
      <c r="J37" s="67"/>
      <c r="K37" s="67"/>
      <c r="L37" s="67">
        <f t="shared" si="0"/>
        <v>0</v>
      </c>
      <c r="M37" s="42"/>
    </row>
    <row r="38" spans="1:12" s="44" customFormat="1" ht="43.5" customHeight="1">
      <c r="A38" s="64" t="s">
        <v>840</v>
      </c>
      <c r="B38" s="65" t="s">
        <v>841</v>
      </c>
      <c r="C38" s="65" t="s">
        <v>777</v>
      </c>
      <c r="D38" s="66"/>
      <c r="E38" s="68"/>
      <c r="F38" s="53"/>
      <c r="G38" s="52"/>
      <c r="H38" s="67"/>
      <c r="I38" s="67"/>
      <c r="J38" s="67"/>
      <c r="K38" s="67"/>
      <c r="L38" s="67">
        <f t="shared" si="0"/>
        <v>0</v>
      </c>
    </row>
    <row r="39" spans="1:12" s="44" customFormat="1" ht="77.25" customHeight="1">
      <c r="A39" s="64" t="s">
        <v>842</v>
      </c>
      <c r="B39" s="65" t="s">
        <v>843</v>
      </c>
      <c r="C39" s="65" t="s">
        <v>777</v>
      </c>
      <c r="D39" s="66">
        <v>854</v>
      </c>
      <c r="E39" s="66" t="s">
        <v>844</v>
      </c>
      <c r="F39" s="52" t="s">
        <v>845</v>
      </c>
      <c r="G39" s="52">
        <v>611</v>
      </c>
      <c r="H39" s="67"/>
      <c r="I39" s="67">
        <f>ROUND(435976600/1000,1)</f>
        <v>435976.6</v>
      </c>
      <c r="J39" s="67">
        <f>ROUND(440544412/1000,1)</f>
        <v>440544.4</v>
      </c>
      <c r="K39" s="67">
        <f>ROUND(445188214/1000,1)</f>
        <v>445188.2</v>
      </c>
      <c r="L39" s="67">
        <f t="shared" si="0"/>
        <v>1321709.2</v>
      </c>
    </row>
    <row r="40" spans="1:12" s="44" customFormat="1" ht="78.75" customHeight="1">
      <c r="A40" s="64" t="s">
        <v>846</v>
      </c>
      <c r="B40" s="65" t="s">
        <v>847</v>
      </c>
      <c r="C40" s="65" t="s">
        <v>777</v>
      </c>
      <c r="D40" s="66">
        <v>854</v>
      </c>
      <c r="E40" s="66" t="s">
        <v>814</v>
      </c>
      <c r="F40" s="53" t="s">
        <v>848</v>
      </c>
      <c r="G40" s="52">
        <v>612</v>
      </c>
      <c r="H40" s="67"/>
      <c r="I40" s="67">
        <f>ROUND(40534890/1000,1)</f>
        <v>40534.9</v>
      </c>
      <c r="J40" s="67">
        <f>ROUND(40534890/1000,1)</f>
        <v>40534.9</v>
      </c>
      <c r="K40" s="67">
        <f>ROUND(40534890/1000,1)</f>
        <v>40534.9</v>
      </c>
      <c r="L40" s="67">
        <f t="shared" si="0"/>
        <v>121604.70000000001</v>
      </c>
    </row>
    <row r="41" spans="1:12" s="44" customFormat="1" ht="57" customHeight="1">
      <c r="A41" s="64" t="s">
        <v>849</v>
      </c>
      <c r="B41" s="65" t="s">
        <v>850</v>
      </c>
      <c r="C41" s="65" t="s">
        <v>777</v>
      </c>
      <c r="D41" s="66"/>
      <c r="E41" s="66"/>
      <c r="F41" s="53"/>
      <c r="G41" s="52"/>
      <c r="H41" s="67"/>
      <c r="I41" s="67"/>
      <c r="J41" s="67"/>
      <c r="K41" s="67"/>
      <c r="L41" s="67">
        <f t="shared" si="0"/>
        <v>0</v>
      </c>
    </row>
    <row r="42" spans="1:12" s="44" customFormat="1" ht="42" customHeight="1">
      <c r="A42" s="64" t="s">
        <v>851</v>
      </c>
      <c r="B42" s="73" t="s">
        <v>852</v>
      </c>
      <c r="C42" s="65" t="s">
        <v>777</v>
      </c>
      <c r="D42" s="66"/>
      <c r="E42" s="66"/>
      <c r="F42" s="53"/>
      <c r="G42" s="52"/>
      <c r="H42" s="67"/>
      <c r="I42" s="67"/>
      <c r="J42" s="67"/>
      <c r="K42" s="67"/>
      <c r="L42" s="67">
        <f t="shared" si="0"/>
        <v>0</v>
      </c>
    </row>
    <row r="43" spans="1:13" s="44" customFormat="1" ht="40.5" customHeight="1">
      <c r="A43" s="64" t="s">
        <v>853</v>
      </c>
      <c r="B43" s="19" t="s">
        <v>854</v>
      </c>
      <c r="C43" s="65" t="s">
        <v>777</v>
      </c>
      <c r="D43" s="66">
        <v>854</v>
      </c>
      <c r="E43" s="53" t="s">
        <v>855</v>
      </c>
      <c r="F43" s="68" t="s">
        <v>856</v>
      </c>
      <c r="G43" s="74">
        <v>612</v>
      </c>
      <c r="H43" s="67"/>
      <c r="I43" s="67">
        <v>1028.6</v>
      </c>
      <c r="J43" s="67">
        <v>1028.6</v>
      </c>
      <c r="K43" s="67">
        <v>1028.6</v>
      </c>
      <c r="L43" s="67">
        <f t="shared" si="0"/>
        <v>3085.7999999999997</v>
      </c>
      <c r="M43" s="42"/>
    </row>
    <row r="44" spans="1:12" s="44" customFormat="1" ht="40.5" customHeight="1">
      <c r="A44" s="64" t="s">
        <v>857</v>
      </c>
      <c r="B44" s="19" t="s">
        <v>858</v>
      </c>
      <c r="C44" s="65" t="s">
        <v>777</v>
      </c>
      <c r="D44" s="66">
        <v>854</v>
      </c>
      <c r="E44" s="53" t="s">
        <v>855</v>
      </c>
      <c r="F44" s="75" t="s">
        <v>859</v>
      </c>
      <c r="G44" s="75">
        <v>611</v>
      </c>
      <c r="H44" s="67"/>
      <c r="I44" s="67">
        <f>ROUND(27263276/1000,1)</f>
        <v>27263.3</v>
      </c>
      <c r="J44" s="67">
        <f>ROUND(27706107/1000,1)</f>
        <v>27706.1</v>
      </c>
      <c r="K44" s="67">
        <f>ROUND(28156304/1000,1)</f>
        <v>28156.3</v>
      </c>
      <c r="L44" s="67">
        <f t="shared" si="0"/>
        <v>83125.7</v>
      </c>
    </row>
    <row r="45" spans="1:12" s="44" customFormat="1" ht="133.5" customHeight="1">
      <c r="A45" s="64" t="s">
        <v>860</v>
      </c>
      <c r="B45" s="65" t="s">
        <v>861</v>
      </c>
      <c r="C45" s="65" t="s">
        <v>777</v>
      </c>
      <c r="D45" s="66"/>
      <c r="E45" s="53"/>
      <c r="F45" s="53"/>
      <c r="G45" s="75"/>
      <c r="H45" s="67"/>
      <c r="I45" s="67"/>
      <c r="J45" s="67"/>
      <c r="K45" s="67"/>
      <c r="L45" s="67">
        <f t="shared" si="0"/>
        <v>0</v>
      </c>
    </row>
    <row r="46" spans="1:12" s="44" customFormat="1" ht="70.5" customHeight="1">
      <c r="A46" s="64" t="s">
        <v>862</v>
      </c>
      <c r="B46" s="76" t="s">
        <v>863</v>
      </c>
      <c r="C46" s="65" t="s">
        <v>777</v>
      </c>
      <c r="D46" s="66">
        <v>854</v>
      </c>
      <c r="E46" s="53" t="s">
        <v>864</v>
      </c>
      <c r="F46" s="75" t="s">
        <v>865</v>
      </c>
      <c r="G46" s="75">
        <v>612</v>
      </c>
      <c r="H46" s="67"/>
      <c r="I46" s="67">
        <f>ROUND(1949832/1000,1)</f>
        <v>1949.8</v>
      </c>
      <c r="J46" s="67">
        <f>ROUND(2057073/1000,1)</f>
        <v>2057.1</v>
      </c>
      <c r="K46" s="67">
        <f>ROUND(2166098/1000,1)</f>
        <v>2166.1</v>
      </c>
      <c r="L46" s="67">
        <f t="shared" si="0"/>
        <v>6173</v>
      </c>
    </row>
    <row r="47" spans="1:13" s="44" customFormat="1" ht="42.75" customHeight="1">
      <c r="A47" s="64" t="s">
        <v>866</v>
      </c>
      <c r="B47" s="73" t="s">
        <v>867</v>
      </c>
      <c r="C47" s="65" t="s">
        <v>777</v>
      </c>
      <c r="D47" s="49">
        <v>854</v>
      </c>
      <c r="E47" s="68" t="s">
        <v>864</v>
      </c>
      <c r="F47" s="77" t="s">
        <v>868</v>
      </c>
      <c r="G47" s="49">
        <v>612</v>
      </c>
      <c r="H47" s="67"/>
      <c r="I47" s="67">
        <f>ROUND(650000/1000,2)</f>
        <v>650</v>
      </c>
      <c r="J47" s="67">
        <v>0</v>
      </c>
      <c r="K47" s="67">
        <v>0</v>
      </c>
      <c r="L47" s="67">
        <f t="shared" si="0"/>
        <v>650</v>
      </c>
      <c r="M47" s="42"/>
    </row>
    <row r="48" spans="1:12" s="44" customFormat="1" ht="42.75" customHeight="1">
      <c r="A48" s="64" t="s">
        <v>869</v>
      </c>
      <c r="B48" s="65" t="s">
        <v>870</v>
      </c>
      <c r="C48" s="65" t="s">
        <v>777</v>
      </c>
      <c r="D48" s="49">
        <v>854</v>
      </c>
      <c r="E48" s="68" t="s">
        <v>844</v>
      </c>
      <c r="F48" s="49" t="s">
        <v>871</v>
      </c>
      <c r="G48" s="49">
        <v>611</v>
      </c>
      <c r="H48" s="67"/>
      <c r="I48" s="67">
        <f>ROUND(57228310/1000,1)</f>
        <v>57228.3</v>
      </c>
      <c r="J48" s="67">
        <f>ROUND(57830403/1000,1)</f>
        <v>57830.4</v>
      </c>
      <c r="K48" s="67">
        <f>ROUND(58442513/1000,1)</f>
        <v>58442.5</v>
      </c>
      <c r="L48" s="67">
        <f t="shared" si="0"/>
        <v>173501.2</v>
      </c>
    </row>
    <row r="49" spans="1:12" s="44" customFormat="1" ht="42.75" customHeight="1">
      <c r="A49" s="64" t="s">
        <v>872</v>
      </c>
      <c r="B49" s="65" t="s">
        <v>873</v>
      </c>
      <c r="C49" s="65" t="s">
        <v>777</v>
      </c>
      <c r="D49" s="49"/>
      <c r="E49" s="68"/>
      <c r="F49" s="77"/>
      <c r="G49" s="49"/>
      <c r="H49" s="67"/>
      <c r="I49" s="67"/>
      <c r="J49" s="67"/>
      <c r="K49" s="67"/>
      <c r="L49" s="67">
        <f t="shared" si="0"/>
        <v>0</v>
      </c>
    </row>
    <row r="50" spans="1:12" s="44" customFormat="1" ht="42.75" customHeight="1">
      <c r="A50" s="64" t="s">
        <v>874</v>
      </c>
      <c r="B50" s="65" t="s">
        <v>875</v>
      </c>
      <c r="C50" s="65" t="s">
        <v>777</v>
      </c>
      <c r="D50" s="49"/>
      <c r="E50" s="68"/>
      <c r="F50" s="49"/>
      <c r="G50" s="49"/>
      <c r="H50" s="67"/>
      <c r="I50" s="67"/>
      <c r="J50" s="67"/>
      <c r="K50" s="67"/>
      <c r="L50" s="67">
        <f t="shared" si="0"/>
        <v>0</v>
      </c>
    </row>
    <row r="51" spans="1:12" s="44" customFormat="1" ht="96" customHeight="1">
      <c r="A51" s="64" t="s">
        <v>876</v>
      </c>
      <c r="B51" s="65" t="s">
        <v>877</v>
      </c>
      <c r="C51" s="65" t="s">
        <v>777</v>
      </c>
      <c r="D51" s="66"/>
      <c r="E51" s="53"/>
      <c r="F51" s="75"/>
      <c r="G51" s="52"/>
      <c r="H51" s="67"/>
      <c r="I51" s="67"/>
      <c r="J51" s="67"/>
      <c r="K51" s="67"/>
      <c r="L51" s="67">
        <f t="shared" si="0"/>
        <v>0</v>
      </c>
    </row>
    <row r="52" spans="1:12" s="44" customFormat="1" ht="57" customHeight="1">
      <c r="A52" s="64" t="s">
        <v>878</v>
      </c>
      <c r="B52" s="65" t="s">
        <v>879</v>
      </c>
      <c r="C52" s="65" t="s">
        <v>777</v>
      </c>
      <c r="D52" s="66"/>
      <c r="E52" s="53"/>
      <c r="F52" s="75"/>
      <c r="G52" s="52"/>
      <c r="H52" s="67"/>
      <c r="I52" s="67"/>
      <c r="J52" s="67"/>
      <c r="K52" s="67"/>
      <c r="L52" s="67">
        <f t="shared" si="0"/>
        <v>0</v>
      </c>
    </row>
    <row r="53" spans="1:13" s="44" customFormat="1" ht="115.5" customHeight="1">
      <c r="A53" s="64" t="s">
        <v>880</v>
      </c>
      <c r="B53" s="65" t="s">
        <v>881</v>
      </c>
      <c r="C53" s="65" t="s">
        <v>777</v>
      </c>
      <c r="D53" s="66">
        <v>854</v>
      </c>
      <c r="E53" s="53" t="s">
        <v>814</v>
      </c>
      <c r="F53" s="53" t="s">
        <v>882</v>
      </c>
      <c r="G53" s="52">
        <v>612</v>
      </c>
      <c r="H53" s="67"/>
      <c r="I53" s="67">
        <f>ROUND(15239313/1000,1)</f>
        <v>15239.3</v>
      </c>
      <c r="J53" s="67">
        <f>ROUND(15239313/1000,1)</f>
        <v>15239.3</v>
      </c>
      <c r="K53" s="67">
        <f>ROUND(15239313/1000,1)</f>
        <v>15239.3</v>
      </c>
      <c r="L53" s="67">
        <f t="shared" si="0"/>
        <v>45717.899999999994</v>
      </c>
      <c r="M53" s="42"/>
    </row>
    <row r="54" spans="1:12" s="44" customFormat="1" ht="40.5" customHeight="1">
      <c r="A54" s="64" t="s">
        <v>883</v>
      </c>
      <c r="B54" s="76" t="s">
        <v>884</v>
      </c>
      <c r="C54" s="65" t="s">
        <v>777</v>
      </c>
      <c r="D54" s="66"/>
      <c r="E54" s="53"/>
      <c r="F54" s="53"/>
      <c r="G54" s="52"/>
      <c r="H54" s="67"/>
      <c r="I54" s="67"/>
      <c r="J54" s="67"/>
      <c r="K54" s="67"/>
      <c r="L54" s="67">
        <f t="shared" si="0"/>
        <v>0</v>
      </c>
    </row>
    <row r="55" spans="1:12" s="44" customFormat="1" ht="40.5" customHeight="1">
      <c r="A55" s="64" t="s">
        <v>885</v>
      </c>
      <c r="B55" s="78" t="s">
        <v>886</v>
      </c>
      <c r="C55" s="65" t="s">
        <v>777</v>
      </c>
      <c r="D55" s="66">
        <v>854</v>
      </c>
      <c r="E55" s="53" t="s">
        <v>844</v>
      </c>
      <c r="F55" s="53" t="s">
        <v>887</v>
      </c>
      <c r="G55" s="52">
        <v>611</v>
      </c>
      <c r="H55" s="67"/>
      <c r="I55" s="67">
        <f>ROUND(521288464/1000,1)</f>
        <v>521288.5</v>
      </c>
      <c r="J55" s="67">
        <f>ROUND(526023957/1000,1)</f>
        <v>526024</v>
      </c>
      <c r="K55" s="67">
        <f>ROUND(530838230/1000,1)</f>
        <v>530838.2</v>
      </c>
      <c r="L55" s="67">
        <f t="shared" si="0"/>
        <v>1578150.7</v>
      </c>
    </row>
    <row r="56" spans="1:12" s="44" customFormat="1" ht="57" customHeight="1">
      <c r="A56" s="64" t="s">
        <v>888</v>
      </c>
      <c r="B56" s="65" t="s">
        <v>889</v>
      </c>
      <c r="C56" s="65" t="s">
        <v>777</v>
      </c>
      <c r="D56" s="66"/>
      <c r="E56" s="53"/>
      <c r="F56" s="53"/>
      <c r="G56" s="52"/>
      <c r="H56" s="67"/>
      <c r="I56" s="67"/>
      <c r="J56" s="67"/>
      <c r="K56" s="67"/>
      <c r="L56" s="67">
        <f t="shared" si="0"/>
        <v>0</v>
      </c>
    </row>
    <row r="57" spans="1:13" s="44" customFormat="1" ht="42.75" customHeight="1">
      <c r="A57" s="64" t="s">
        <v>890</v>
      </c>
      <c r="B57" s="65" t="s">
        <v>891</v>
      </c>
      <c r="C57" s="65" t="s">
        <v>777</v>
      </c>
      <c r="D57" s="66"/>
      <c r="E57" s="53"/>
      <c r="F57" s="53"/>
      <c r="G57" s="52"/>
      <c r="H57" s="67"/>
      <c r="I57" s="67"/>
      <c r="J57" s="67"/>
      <c r="K57" s="67"/>
      <c r="L57" s="67">
        <f t="shared" si="0"/>
        <v>0</v>
      </c>
      <c r="M57" s="42"/>
    </row>
    <row r="58" spans="1:12" s="44" customFormat="1" ht="42.75" customHeight="1">
      <c r="A58" s="64" t="s">
        <v>892</v>
      </c>
      <c r="B58" s="65" t="s">
        <v>893</v>
      </c>
      <c r="C58" s="65" t="s">
        <v>777</v>
      </c>
      <c r="D58" s="66"/>
      <c r="E58" s="53"/>
      <c r="F58" s="53"/>
      <c r="G58" s="52"/>
      <c r="H58" s="67"/>
      <c r="I58" s="67"/>
      <c r="J58" s="67"/>
      <c r="K58" s="67"/>
      <c r="L58" s="67">
        <f t="shared" si="0"/>
        <v>0</v>
      </c>
    </row>
    <row r="59" spans="1:12" s="44" customFormat="1" ht="42.75" customHeight="1">
      <c r="A59" s="64" t="s">
        <v>894</v>
      </c>
      <c r="B59" s="65" t="s">
        <v>895</v>
      </c>
      <c r="C59" s="65" t="s">
        <v>777</v>
      </c>
      <c r="D59" s="66"/>
      <c r="E59" s="53"/>
      <c r="F59" s="53"/>
      <c r="G59" s="52"/>
      <c r="H59" s="67"/>
      <c r="I59" s="67"/>
      <c r="J59" s="67"/>
      <c r="K59" s="67"/>
      <c r="L59" s="67">
        <f t="shared" si="0"/>
        <v>0</v>
      </c>
    </row>
    <row r="60" spans="1:12" s="44" customFormat="1" ht="58.5" customHeight="1">
      <c r="A60" s="64" t="s">
        <v>896</v>
      </c>
      <c r="B60" s="65" t="s">
        <v>897</v>
      </c>
      <c r="C60" s="65" t="s">
        <v>777</v>
      </c>
      <c r="D60" s="66"/>
      <c r="E60" s="53"/>
      <c r="F60" s="53"/>
      <c r="G60" s="52"/>
      <c r="H60" s="67"/>
      <c r="I60" s="67"/>
      <c r="J60" s="67"/>
      <c r="K60" s="67"/>
      <c r="L60" s="67">
        <f t="shared" si="0"/>
        <v>0</v>
      </c>
    </row>
    <row r="61" spans="1:12" s="44" customFormat="1" ht="114.75" customHeight="1">
      <c r="A61" s="64" t="s">
        <v>898</v>
      </c>
      <c r="B61" s="65" t="s">
        <v>899</v>
      </c>
      <c r="C61" s="65" t="s">
        <v>777</v>
      </c>
      <c r="D61" s="66"/>
      <c r="E61" s="53"/>
      <c r="F61" s="53"/>
      <c r="G61" s="52"/>
      <c r="H61" s="67"/>
      <c r="I61" s="67"/>
      <c r="J61" s="67"/>
      <c r="K61" s="67"/>
      <c r="L61" s="67">
        <f t="shared" si="0"/>
        <v>0</v>
      </c>
    </row>
    <row r="62" spans="1:13" s="44" customFormat="1" ht="43.5" customHeight="1">
      <c r="A62" s="64" t="s">
        <v>900</v>
      </c>
      <c r="B62" s="65" t="s">
        <v>901</v>
      </c>
      <c r="C62" s="65" t="s">
        <v>777</v>
      </c>
      <c r="D62" s="66"/>
      <c r="E62" s="53"/>
      <c r="F62" s="53"/>
      <c r="G62" s="52"/>
      <c r="H62" s="67"/>
      <c r="I62" s="67"/>
      <c r="J62" s="67"/>
      <c r="K62" s="67"/>
      <c r="L62" s="67">
        <f t="shared" si="0"/>
        <v>0</v>
      </c>
      <c r="M62" s="42"/>
    </row>
    <row r="63" spans="1:12" s="44" customFormat="1" ht="43.5" customHeight="1">
      <c r="A63" s="64" t="s">
        <v>902</v>
      </c>
      <c r="B63" s="65" t="s">
        <v>903</v>
      </c>
      <c r="C63" s="65" t="s">
        <v>777</v>
      </c>
      <c r="D63" s="66">
        <v>854</v>
      </c>
      <c r="E63" s="53" t="s">
        <v>904</v>
      </c>
      <c r="F63" s="53" t="s">
        <v>905</v>
      </c>
      <c r="G63" s="52">
        <v>611</v>
      </c>
      <c r="H63" s="67"/>
      <c r="I63" s="67">
        <f>ROUND(2531225/1000,1)</f>
        <v>2531.2</v>
      </c>
      <c r="J63" s="67">
        <f>ROUND(2547218/1000,1)</f>
        <v>2547.2</v>
      </c>
      <c r="K63" s="67">
        <f>ROUND(2563476/1000,1)</f>
        <v>2563.5</v>
      </c>
      <c r="L63" s="67">
        <f t="shared" si="0"/>
        <v>7641.9</v>
      </c>
    </row>
    <row r="64" spans="1:12" s="44" customFormat="1" ht="43.5" customHeight="1">
      <c r="A64" s="64" t="s">
        <v>906</v>
      </c>
      <c r="B64" s="65" t="s">
        <v>907</v>
      </c>
      <c r="C64" s="65" t="s">
        <v>777</v>
      </c>
      <c r="D64" s="66"/>
      <c r="E64" s="53"/>
      <c r="F64" s="53"/>
      <c r="G64" s="52"/>
      <c r="H64" s="67"/>
      <c r="I64" s="67"/>
      <c r="J64" s="67"/>
      <c r="K64" s="67"/>
      <c r="L64" s="67">
        <f t="shared" si="0"/>
        <v>0</v>
      </c>
    </row>
    <row r="65" spans="1:12" s="44" customFormat="1" ht="59.25" customHeight="1">
      <c r="A65" s="64" t="s">
        <v>908</v>
      </c>
      <c r="B65" s="65" t="s">
        <v>909</v>
      </c>
      <c r="C65" s="65" t="s">
        <v>777</v>
      </c>
      <c r="D65" s="66"/>
      <c r="E65" s="53"/>
      <c r="F65" s="53"/>
      <c r="G65" s="52"/>
      <c r="H65" s="67"/>
      <c r="I65" s="67"/>
      <c r="J65" s="67"/>
      <c r="K65" s="67"/>
      <c r="L65" s="67">
        <f t="shared" si="0"/>
        <v>0</v>
      </c>
    </row>
    <row r="66" spans="1:12" s="44" customFormat="1" ht="114" customHeight="1">
      <c r="A66" s="64" t="s">
        <v>910</v>
      </c>
      <c r="B66" s="65" t="s">
        <v>911</v>
      </c>
      <c r="C66" s="65" t="s">
        <v>777</v>
      </c>
      <c r="D66" s="66">
        <v>854</v>
      </c>
      <c r="E66" s="53" t="s">
        <v>814</v>
      </c>
      <c r="F66" s="53" t="s">
        <v>912</v>
      </c>
      <c r="G66" s="52">
        <v>612</v>
      </c>
      <c r="H66" s="67"/>
      <c r="I66" s="67">
        <f>ROUND(4303103/1000,1)</f>
        <v>4303.1</v>
      </c>
      <c r="J66" s="67">
        <f>ROUND(4303103/1000,1)</f>
        <v>4303.1</v>
      </c>
      <c r="K66" s="67">
        <f>ROUND(4303103/1000,1)</f>
        <v>4303.1</v>
      </c>
      <c r="L66" s="67">
        <f t="shared" si="0"/>
        <v>12909.300000000001</v>
      </c>
    </row>
    <row r="67" spans="1:12" s="44" customFormat="1" ht="40.5" customHeight="1">
      <c r="A67" s="64" t="s">
        <v>913</v>
      </c>
      <c r="B67" s="71" t="s">
        <v>914</v>
      </c>
      <c r="C67" s="65" t="s">
        <v>773</v>
      </c>
      <c r="D67" s="68" t="s">
        <v>915</v>
      </c>
      <c r="E67" s="68" t="s">
        <v>814</v>
      </c>
      <c r="F67" s="49" t="s">
        <v>916</v>
      </c>
      <c r="G67" s="49">
        <v>414</v>
      </c>
      <c r="H67" s="67"/>
      <c r="I67" s="67">
        <f>'[1]Таблица 7а'!$J$48</f>
        <v>100000</v>
      </c>
      <c r="J67" s="67">
        <f>'[1]Таблица 7а'!$K$48</f>
        <v>100000</v>
      </c>
      <c r="K67" s="67">
        <f>'[1]Таблица 7а'!$L$48</f>
        <v>24177.7</v>
      </c>
      <c r="L67" s="67">
        <f t="shared" si="0"/>
        <v>224177.7</v>
      </c>
    </row>
    <row r="68" spans="1:13" s="70" customFormat="1" ht="42.75" customHeight="1">
      <c r="A68" s="64" t="s">
        <v>917</v>
      </c>
      <c r="B68" s="65" t="s">
        <v>918</v>
      </c>
      <c r="C68" s="65" t="s">
        <v>777</v>
      </c>
      <c r="D68" s="66"/>
      <c r="E68" s="68"/>
      <c r="F68" s="68"/>
      <c r="G68" s="49"/>
      <c r="H68" s="67"/>
      <c r="I68" s="67"/>
      <c r="J68" s="67"/>
      <c r="K68" s="67"/>
      <c r="L68" s="67">
        <f t="shared" si="0"/>
        <v>0</v>
      </c>
      <c r="M68" s="79"/>
    </row>
    <row r="69" spans="1:12" s="44" customFormat="1" ht="60.75" customHeight="1">
      <c r="A69" s="64" t="s">
        <v>919</v>
      </c>
      <c r="B69" s="65" t="s">
        <v>920</v>
      </c>
      <c r="C69" s="65" t="s">
        <v>777</v>
      </c>
      <c r="D69" s="66">
        <v>854</v>
      </c>
      <c r="E69" s="53" t="s">
        <v>921</v>
      </c>
      <c r="F69" s="53" t="s">
        <v>922</v>
      </c>
      <c r="G69" s="52">
        <v>612</v>
      </c>
      <c r="H69" s="67"/>
      <c r="I69" s="67">
        <f>ROUND(3833475/1000,1)</f>
        <v>3833.5</v>
      </c>
      <c r="J69" s="67">
        <f>ROUND(3833475/1000,1)</f>
        <v>3833.5</v>
      </c>
      <c r="K69" s="67">
        <f>ROUND(3833475/1000,1)</f>
        <v>3833.5</v>
      </c>
      <c r="L69" s="67">
        <f t="shared" si="0"/>
        <v>11500.5</v>
      </c>
    </row>
    <row r="70" spans="1:12" s="44" customFormat="1" ht="42.75" customHeight="1">
      <c r="A70" s="64" t="s">
        <v>923</v>
      </c>
      <c r="B70" s="76" t="s">
        <v>924</v>
      </c>
      <c r="C70" s="65" t="s">
        <v>777</v>
      </c>
      <c r="D70" s="66">
        <v>854</v>
      </c>
      <c r="E70" s="53" t="s">
        <v>814</v>
      </c>
      <c r="F70" s="53" t="s">
        <v>925</v>
      </c>
      <c r="G70" s="52">
        <v>611</v>
      </c>
      <c r="H70" s="67"/>
      <c r="I70" s="67">
        <f>ROUND(136515759/1000,1)</f>
        <v>136515.8</v>
      </c>
      <c r="J70" s="67">
        <f>ROUND(142620340/1000,1)</f>
        <v>142620.3</v>
      </c>
      <c r="K70" s="67">
        <f>ROUND(148826478/1000,1)</f>
        <v>148826.5</v>
      </c>
      <c r="L70" s="67">
        <f t="shared" si="0"/>
        <v>427962.6</v>
      </c>
    </row>
    <row r="71" spans="1:12" s="44" customFormat="1" ht="54" customHeight="1">
      <c r="A71" s="64" t="s">
        <v>926</v>
      </c>
      <c r="B71" s="65" t="s">
        <v>927</v>
      </c>
      <c r="C71" s="65" t="s">
        <v>777</v>
      </c>
      <c r="D71" s="66">
        <v>854</v>
      </c>
      <c r="E71" s="53" t="s">
        <v>855</v>
      </c>
      <c r="F71" s="53" t="s">
        <v>928</v>
      </c>
      <c r="G71" s="52" t="s">
        <v>929</v>
      </c>
      <c r="H71" s="67"/>
      <c r="I71" s="67">
        <f>ROUND(33021061/1000,1)-1500</f>
        <v>31521.1</v>
      </c>
      <c r="J71" s="67">
        <f>ROUND(31705761/1000,1)</f>
        <v>31705.8</v>
      </c>
      <c r="K71" s="67">
        <f>ROUND(32400761/1000,1)</f>
        <v>32400.8</v>
      </c>
      <c r="L71" s="67">
        <f t="shared" si="0"/>
        <v>95627.7</v>
      </c>
    </row>
    <row r="72" spans="1:13" s="44" customFormat="1" ht="42.75" customHeight="1">
      <c r="A72" s="64" t="s">
        <v>930</v>
      </c>
      <c r="B72" s="76" t="s">
        <v>931</v>
      </c>
      <c r="C72" s="65" t="s">
        <v>777</v>
      </c>
      <c r="D72" s="66"/>
      <c r="E72" s="53"/>
      <c r="F72" s="53"/>
      <c r="G72" s="52"/>
      <c r="H72" s="67"/>
      <c r="I72" s="67"/>
      <c r="J72" s="67"/>
      <c r="K72" s="67"/>
      <c r="L72" s="67">
        <f t="shared" si="0"/>
        <v>0</v>
      </c>
      <c r="M72" s="42"/>
    </row>
    <row r="73" spans="1:12" s="44" customFormat="1" ht="42.75" customHeight="1">
      <c r="A73" s="64" t="s">
        <v>932</v>
      </c>
      <c r="B73" s="76" t="s">
        <v>933</v>
      </c>
      <c r="C73" s="65" t="s">
        <v>777</v>
      </c>
      <c r="D73" s="66">
        <v>854</v>
      </c>
      <c r="E73" s="53" t="s">
        <v>814</v>
      </c>
      <c r="F73" s="53" t="s">
        <v>934</v>
      </c>
      <c r="G73" s="52">
        <v>612</v>
      </c>
      <c r="H73" s="67"/>
      <c r="I73" s="67">
        <f>ROUND(600000/1000,1)</f>
        <v>600</v>
      </c>
      <c r="J73" s="67">
        <f>ROUND(1900000/1000,1)</f>
        <v>1900</v>
      </c>
      <c r="K73" s="67">
        <f>ROUND(1900000/1000,1)</f>
        <v>1900</v>
      </c>
      <c r="L73" s="67">
        <f t="shared" si="0"/>
        <v>4400</v>
      </c>
    </row>
    <row r="74" spans="1:12" s="44" customFormat="1" ht="62.25" customHeight="1">
      <c r="A74" s="64" t="s">
        <v>935</v>
      </c>
      <c r="B74" s="76" t="s">
        <v>936</v>
      </c>
      <c r="C74" s="65" t="s">
        <v>777</v>
      </c>
      <c r="D74" s="66"/>
      <c r="E74" s="53"/>
      <c r="F74" s="53"/>
      <c r="G74" s="52"/>
      <c r="H74" s="67"/>
      <c r="I74" s="67"/>
      <c r="J74" s="67"/>
      <c r="K74" s="67"/>
      <c r="L74" s="67">
        <f t="shared" si="0"/>
        <v>0</v>
      </c>
    </row>
    <row r="75" spans="1:12" s="44" customFormat="1" ht="154.5" customHeight="1">
      <c r="A75" s="64" t="s">
        <v>937</v>
      </c>
      <c r="B75" s="65" t="s">
        <v>938</v>
      </c>
      <c r="C75" s="65" t="s">
        <v>777</v>
      </c>
      <c r="D75" s="66">
        <v>854</v>
      </c>
      <c r="E75" s="53" t="s">
        <v>814</v>
      </c>
      <c r="F75" s="53" t="s">
        <v>939</v>
      </c>
      <c r="G75" s="52">
        <v>612</v>
      </c>
      <c r="H75" s="67"/>
      <c r="I75" s="67">
        <f>ROUND(2198295/1000,1)</f>
        <v>2198.3</v>
      </c>
      <c r="J75" s="67">
        <f>ROUND(921774/1000,1)</f>
        <v>921.8</v>
      </c>
      <c r="K75" s="67">
        <f>ROUND(945644/1000,1)</f>
        <v>945.6</v>
      </c>
      <c r="L75" s="67">
        <f t="shared" si="0"/>
        <v>4065.7000000000003</v>
      </c>
    </row>
    <row r="76" spans="1:13" s="44" customFormat="1" ht="42.75" customHeight="1">
      <c r="A76" s="64" t="s">
        <v>940</v>
      </c>
      <c r="B76" s="65" t="s">
        <v>941</v>
      </c>
      <c r="C76" s="65" t="s">
        <v>777</v>
      </c>
      <c r="D76" s="66">
        <v>854</v>
      </c>
      <c r="E76" s="53" t="s">
        <v>942</v>
      </c>
      <c r="F76" s="53" t="s">
        <v>943</v>
      </c>
      <c r="G76" s="52" t="s">
        <v>944</v>
      </c>
      <c r="H76" s="67"/>
      <c r="I76" s="67">
        <v>136219.4</v>
      </c>
      <c r="J76" s="67">
        <v>137148.7</v>
      </c>
      <c r="K76" s="67">
        <v>138093.5</v>
      </c>
      <c r="L76" s="67">
        <f t="shared" si="0"/>
        <v>411461.6</v>
      </c>
      <c r="M76" s="42"/>
    </row>
    <row r="77" spans="1:12" s="44" customFormat="1" ht="42.75" customHeight="1">
      <c r="A77" s="64" t="s">
        <v>945</v>
      </c>
      <c r="B77" s="65" t="s">
        <v>946</v>
      </c>
      <c r="C77" s="65" t="s">
        <v>777</v>
      </c>
      <c r="D77" s="66"/>
      <c r="E77" s="53"/>
      <c r="F77" s="53"/>
      <c r="G77" s="52"/>
      <c r="H77" s="67"/>
      <c r="I77" s="67"/>
      <c r="J77" s="67"/>
      <c r="K77" s="67"/>
      <c r="L77" s="67">
        <f t="shared" si="0"/>
        <v>0</v>
      </c>
    </row>
    <row r="78" spans="1:12" s="44" customFormat="1" ht="42.75" customHeight="1">
      <c r="A78" s="64" t="s">
        <v>947</v>
      </c>
      <c r="B78" s="65" t="s">
        <v>948</v>
      </c>
      <c r="C78" s="65" t="s">
        <v>777</v>
      </c>
      <c r="D78" s="66">
        <v>854</v>
      </c>
      <c r="E78" s="53" t="s">
        <v>810</v>
      </c>
      <c r="F78" s="53" t="s">
        <v>949</v>
      </c>
      <c r="G78" s="52" t="s">
        <v>812</v>
      </c>
      <c r="H78" s="67"/>
      <c r="I78" s="67">
        <f>ROUND(117447084/1000,1)</f>
        <v>117447.1</v>
      </c>
      <c r="J78" s="67">
        <f>ROUND(117297084/1000,1)</f>
        <v>117297.1</v>
      </c>
      <c r="K78" s="67">
        <f>ROUND(117297084/1000,1)</f>
        <v>117297.1</v>
      </c>
      <c r="L78" s="67">
        <f t="shared" si="0"/>
        <v>352041.30000000005</v>
      </c>
    </row>
    <row r="79" spans="1:12" s="44" customFormat="1" ht="78" customHeight="1">
      <c r="A79" s="64" t="s">
        <v>950</v>
      </c>
      <c r="B79" s="65" t="s">
        <v>951</v>
      </c>
      <c r="C79" s="70"/>
      <c r="D79" s="66"/>
      <c r="E79" s="53"/>
      <c r="F79" s="53"/>
      <c r="G79" s="52"/>
      <c r="H79" s="67"/>
      <c r="I79" s="67"/>
      <c r="J79" s="67"/>
      <c r="K79" s="67"/>
      <c r="L79" s="67">
        <f t="shared" si="0"/>
        <v>0</v>
      </c>
    </row>
    <row r="80" spans="1:12" s="44" customFormat="1" ht="38.25" customHeight="1">
      <c r="A80" s="64" t="s">
        <v>952</v>
      </c>
      <c r="B80" s="65" t="s">
        <v>914</v>
      </c>
      <c r="C80" s="65" t="s">
        <v>773</v>
      </c>
      <c r="D80" s="68" t="s">
        <v>915</v>
      </c>
      <c r="E80" s="68" t="s">
        <v>814</v>
      </c>
      <c r="F80" s="49" t="s">
        <v>953</v>
      </c>
      <c r="G80" s="49">
        <v>414</v>
      </c>
      <c r="H80" s="67"/>
      <c r="I80" s="67">
        <f>'[1]Таблица 7а'!$J$53+'[1]Таблица 7а'!$J$57+'[1]Таблица 7а'!$J$61</f>
        <v>127618</v>
      </c>
      <c r="J80" s="67">
        <f>'[1]Таблица 7а'!$K$53+'[1]Таблица 7а'!$K$57+'[1]Таблица 7а'!$K$61</f>
        <v>799500</v>
      </c>
      <c r="K80" s="67">
        <f>'[1]Таблица 7а'!$L$53+'[1]Таблица 7а'!$L$57+'[1]Таблица 7а'!$L$61</f>
        <v>704070</v>
      </c>
      <c r="L80" s="67">
        <f t="shared" si="0"/>
        <v>1631188</v>
      </c>
    </row>
    <row r="81" spans="1:13" s="44" customFormat="1" ht="42" customHeight="1">
      <c r="A81" s="64" t="s">
        <v>954</v>
      </c>
      <c r="B81" s="76" t="s">
        <v>955</v>
      </c>
      <c r="C81" s="65" t="s">
        <v>777</v>
      </c>
      <c r="D81" s="66">
        <v>854</v>
      </c>
      <c r="E81" s="53" t="s">
        <v>814</v>
      </c>
      <c r="F81" s="53" t="s">
        <v>956</v>
      </c>
      <c r="G81" s="52">
        <v>611</v>
      </c>
      <c r="H81" s="67"/>
      <c r="I81" s="67">
        <f>ROUND(267763339/1000,1)</f>
        <v>267763.3</v>
      </c>
      <c r="J81" s="67">
        <f>ROUND(276006072/1000,1)</f>
        <v>276006.1</v>
      </c>
      <c r="K81" s="67">
        <f>ROUND(284385937/1000,1)</f>
        <v>284385.9</v>
      </c>
      <c r="L81" s="67">
        <f t="shared" si="0"/>
        <v>828155.2999999999</v>
      </c>
      <c r="M81" s="42"/>
    </row>
    <row r="82" spans="1:12" s="44" customFormat="1" ht="42" customHeight="1">
      <c r="A82" s="64" t="s">
        <v>957</v>
      </c>
      <c r="B82" s="76" t="s">
        <v>958</v>
      </c>
      <c r="C82" s="65" t="s">
        <v>777</v>
      </c>
      <c r="D82" s="66">
        <v>854</v>
      </c>
      <c r="E82" s="53" t="s">
        <v>855</v>
      </c>
      <c r="F82" s="53" t="s">
        <v>959</v>
      </c>
      <c r="G82" s="52">
        <v>244</v>
      </c>
      <c r="H82" s="67"/>
      <c r="I82" s="67">
        <f>ROUND(4036100/1000,1)</f>
        <v>4036.1</v>
      </c>
      <c r="J82" s="67">
        <f>ROUND(4036100/1000,1)</f>
        <v>4036.1</v>
      </c>
      <c r="K82" s="67">
        <f>ROUND(4036100/1000,1)</f>
        <v>4036.1</v>
      </c>
      <c r="L82" s="67">
        <f t="shared" si="0"/>
        <v>12108.3</v>
      </c>
    </row>
    <row r="83" spans="1:12" s="44" customFormat="1" ht="59.25" customHeight="1">
      <c r="A83" s="64" t="s">
        <v>960</v>
      </c>
      <c r="B83" s="76" t="s">
        <v>961</v>
      </c>
      <c r="C83" s="65" t="s">
        <v>777</v>
      </c>
      <c r="D83" s="66"/>
      <c r="E83" s="53"/>
      <c r="F83" s="53"/>
      <c r="G83" s="52"/>
      <c r="H83" s="67"/>
      <c r="I83" s="67"/>
      <c r="J83" s="67"/>
      <c r="K83" s="67"/>
      <c r="L83" s="67">
        <f t="shared" si="0"/>
        <v>0</v>
      </c>
    </row>
    <row r="84" spans="1:12" s="44" customFormat="1" ht="60.75" customHeight="1">
      <c r="A84" s="64" t="s">
        <v>962</v>
      </c>
      <c r="B84" s="65" t="s">
        <v>963</v>
      </c>
      <c r="C84" s="65" t="s">
        <v>777</v>
      </c>
      <c r="D84" s="66"/>
      <c r="E84" s="53"/>
      <c r="F84" s="53"/>
      <c r="G84" s="52"/>
      <c r="H84" s="67"/>
      <c r="I84" s="67"/>
      <c r="J84" s="67"/>
      <c r="K84" s="67"/>
      <c r="L84" s="67">
        <f t="shared" si="0"/>
        <v>0</v>
      </c>
    </row>
    <row r="85" spans="1:13" s="44" customFormat="1" ht="42" customHeight="1">
      <c r="A85" s="64" t="s">
        <v>964</v>
      </c>
      <c r="B85" s="65" t="s">
        <v>965</v>
      </c>
      <c r="C85" s="65" t="s">
        <v>777</v>
      </c>
      <c r="D85" s="66">
        <v>854</v>
      </c>
      <c r="E85" s="53" t="s">
        <v>966</v>
      </c>
      <c r="F85" s="53" t="s">
        <v>967</v>
      </c>
      <c r="G85" s="52">
        <v>611</v>
      </c>
      <c r="H85" s="67"/>
      <c r="I85" s="67">
        <f>ROUND(249547301/1000,1)</f>
        <v>249547.3</v>
      </c>
      <c r="J85" s="67">
        <f>ROUND(252775179/1000,1)</f>
        <v>252775.2</v>
      </c>
      <c r="K85" s="67">
        <f>ROUND(256056759/1000,1)</f>
        <v>256056.8</v>
      </c>
      <c r="L85" s="67">
        <f t="shared" si="0"/>
        <v>758379.3</v>
      </c>
      <c r="M85" s="42"/>
    </row>
    <row r="86" spans="1:12" s="44" customFormat="1" ht="59.25" customHeight="1">
      <c r="A86" s="64" t="s">
        <v>968</v>
      </c>
      <c r="B86" s="65" t="s">
        <v>969</v>
      </c>
      <c r="C86" s="65" t="s">
        <v>777</v>
      </c>
      <c r="D86" s="66"/>
      <c r="E86" s="53"/>
      <c r="F86" s="53"/>
      <c r="G86" s="52"/>
      <c r="H86" s="67"/>
      <c r="I86" s="67"/>
      <c r="J86" s="67"/>
      <c r="K86" s="67"/>
      <c r="L86" s="67">
        <f t="shared" si="0"/>
        <v>0</v>
      </c>
    </row>
    <row r="87" spans="1:12" s="44" customFormat="1" ht="40.5" customHeight="1">
      <c r="A87" s="64" t="s">
        <v>970</v>
      </c>
      <c r="B87" s="65" t="s">
        <v>971</v>
      </c>
      <c r="C87" s="65" t="s">
        <v>777</v>
      </c>
      <c r="D87" s="66"/>
      <c r="E87" s="53"/>
      <c r="F87" s="53"/>
      <c r="G87" s="52"/>
      <c r="H87" s="67"/>
      <c r="I87" s="67"/>
      <c r="J87" s="67"/>
      <c r="K87" s="67"/>
      <c r="L87" s="67">
        <f t="shared" si="0"/>
        <v>0</v>
      </c>
    </row>
    <row r="88" spans="1:12" s="44" customFormat="1" ht="40.5" customHeight="1">
      <c r="A88" s="64" t="s">
        <v>972</v>
      </c>
      <c r="B88" s="65" t="s">
        <v>973</v>
      </c>
      <c r="C88" s="65" t="s">
        <v>777</v>
      </c>
      <c r="D88" s="66">
        <v>854</v>
      </c>
      <c r="E88" s="53" t="s">
        <v>966</v>
      </c>
      <c r="F88" s="53" t="s">
        <v>974</v>
      </c>
      <c r="G88" s="52">
        <v>612</v>
      </c>
      <c r="H88" s="67"/>
      <c r="I88" s="67">
        <f>ROUND(1705366/1000,1)</f>
        <v>1705.4</v>
      </c>
      <c r="J88" s="67">
        <f>ROUND(1705366/1000,1)</f>
        <v>1705.4</v>
      </c>
      <c r="K88" s="67">
        <f>ROUND(1705366/1000,1)</f>
        <v>1705.4</v>
      </c>
      <c r="L88" s="67">
        <f t="shared" si="0"/>
        <v>5116.200000000001</v>
      </c>
    </row>
    <row r="89" spans="1:12" s="44" customFormat="1" ht="57.75" customHeight="1">
      <c r="A89" s="64" t="s">
        <v>975</v>
      </c>
      <c r="B89" s="65" t="s">
        <v>976</v>
      </c>
      <c r="C89" s="65" t="s">
        <v>777</v>
      </c>
      <c r="D89" s="66"/>
      <c r="E89" s="53"/>
      <c r="F89" s="53"/>
      <c r="G89" s="52"/>
      <c r="H89" s="67"/>
      <c r="I89" s="67"/>
      <c r="J89" s="67"/>
      <c r="K89" s="67"/>
      <c r="L89" s="67">
        <f t="shared" si="0"/>
        <v>0</v>
      </c>
    </row>
    <row r="90" spans="1:13" s="79" customFormat="1" ht="38.25" customHeight="1">
      <c r="A90" s="54" t="s">
        <v>977</v>
      </c>
      <c r="B90" s="80" t="s">
        <v>978</v>
      </c>
      <c r="C90" s="55" t="s">
        <v>770</v>
      </c>
      <c r="D90" s="54"/>
      <c r="E90" s="63" t="s">
        <v>776</v>
      </c>
      <c r="F90" s="63" t="s">
        <v>776</v>
      </c>
      <c r="G90" s="63" t="s">
        <v>776</v>
      </c>
      <c r="H90" s="60" t="e">
        <f>#REF!+#REF!+#REF!+#REF!+#REF!+#REF!</f>
        <v>#VALUE!</v>
      </c>
      <c r="I90" s="60">
        <f>I91+I92</f>
        <v>737524.3</v>
      </c>
      <c r="J90" s="60">
        <f>J91+J92</f>
        <v>714911.2999999998</v>
      </c>
      <c r="K90" s="60">
        <f>K91+K92</f>
        <v>717485.8999999999</v>
      </c>
      <c r="L90" s="60">
        <f t="shared" si="0"/>
        <v>2169921.5</v>
      </c>
      <c r="M90" s="70"/>
    </row>
    <row r="91" spans="1:13" s="79" customFormat="1" ht="54" customHeight="1">
      <c r="A91" s="54"/>
      <c r="B91" s="80"/>
      <c r="C91" s="55" t="s">
        <v>773</v>
      </c>
      <c r="D91" s="54">
        <v>828</v>
      </c>
      <c r="E91" s="63"/>
      <c r="F91" s="63"/>
      <c r="G91" s="63"/>
      <c r="H91" s="60">
        <f>H109+H99</f>
        <v>0</v>
      </c>
      <c r="I91" s="60">
        <f>I109+I99</f>
        <v>16500</v>
      </c>
      <c r="J91" s="60">
        <f>J109+J99</f>
        <v>0</v>
      </c>
      <c r="K91" s="60">
        <f>K109+K99</f>
        <v>0</v>
      </c>
      <c r="L91" s="60">
        <f t="shared" si="0"/>
        <v>16500</v>
      </c>
      <c r="M91" s="81"/>
    </row>
    <row r="92" spans="1:13" s="79" customFormat="1" ht="38.25" customHeight="1">
      <c r="A92" s="54"/>
      <c r="B92" s="80"/>
      <c r="C92" s="55" t="s">
        <v>777</v>
      </c>
      <c r="D92" s="54">
        <v>854</v>
      </c>
      <c r="E92" s="63"/>
      <c r="F92" s="63"/>
      <c r="G92" s="63"/>
      <c r="H92" s="60" t="e">
        <f>H90-H91</f>
        <v>#VALUE!</v>
      </c>
      <c r="I92" s="60">
        <f>SUM(I93:I128)-I99-0.1</f>
        <v>721024.3</v>
      </c>
      <c r="J92" s="60">
        <f>SUM(J93:J128)+0.1</f>
        <v>714911.2999999998</v>
      </c>
      <c r="K92" s="60">
        <f>SUM(K93:K128)+0.2</f>
        <v>717485.8999999999</v>
      </c>
      <c r="L92" s="60">
        <f t="shared" si="0"/>
        <v>2153421.5</v>
      </c>
      <c r="M92" s="81"/>
    </row>
    <row r="93" spans="1:13" s="44" customFormat="1" ht="60" customHeight="1">
      <c r="A93" s="64" t="s">
        <v>979</v>
      </c>
      <c r="B93" s="19" t="s">
        <v>980</v>
      </c>
      <c r="C93" s="65" t="s">
        <v>777</v>
      </c>
      <c r="D93" s="66"/>
      <c r="E93" s="53"/>
      <c r="F93" s="53"/>
      <c r="G93" s="52"/>
      <c r="H93" s="67"/>
      <c r="I93" s="67"/>
      <c r="J93" s="67"/>
      <c r="K93" s="67"/>
      <c r="L93" s="67">
        <f t="shared" si="0"/>
        <v>0</v>
      </c>
      <c r="M93" s="42"/>
    </row>
    <row r="94" spans="1:12" s="44" customFormat="1" ht="60" customHeight="1">
      <c r="A94" s="64" t="s">
        <v>981</v>
      </c>
      <c r="B94" s="19" t="s">
        <v>982</v>
      </c>
      <c r="C94" s="65" t="s">
        <v>777</v>
      </c>
      <c r="D94" s="66"/>
      <c r="E94" s="53"/>
      <c r="F94" s="53"/>
      <c r="G94" s="52"/>
      <c r="H94" s="67"/>
      <c r="I94" s="67"/>
      <c r="J94" s="67"/>
      <c r="K94" s="67"/>
      <c r="L94" s="67">
        <f t="shared" si="0"/>
        <v>0</v>
      </c>
    </row>
    <row r="95" spans="1:12" s="44" customFormat="1" ht="41.25" customHeight="1">
      <c r="A95" s="64" t="s">
        <v>983</v>
      </c>
      <c r="B95" s="65" t="s">
        <v>984</v>
      </c>
      <c r="C95" s="65" t="s">
        <v>777</v>
      </c>
      <c r="D95" s="66"/>
      <c r="E95" s="53"/>
      <c r="F95" s="53"/>
      <c r="G95" s="52"/>
      <c r="H95" s="67"/>
      <c r="I95" s="67"/>
      <c r="J95" s="67"/>
      <c r="K95" s="67"/>
      <c r="L95" s="67">
        <f t="shared" si="0"/>
        <v>0</v>
      </c>
    </row>
    <row r="96" spans="1:12" s="44" customFormat="1" ht="57" customHeight="1">
      <c r="A96" s="64" t="s">
        <v>985</v>
      </c>
      <c r="B96" s="65" t="s">
        <v>986</v>
      </c>
      <c r="C96" s="65" t="s">
        <v>777</v>
      </c>
      <c r="D96" s="66"/>
      <c r="E96" s="53"/>
      <c r="F96" s="53"/>
      <c r="G96" s="52"/>
      <c r="H96" s="67"/>
      <c r="I96" s="67"/>
      <c r="J96" s="67"/>
      <c r="K96" s="67"/>
      <c r="L96" s="67">
        <f t="shared" si="0"/>
        <v>0</v>
      </c>
    </row>
    <row r="97" spans="1:12" s="44" customFormat="1" ht="57" customHeight="1">
      <c r="A97" s="64" t="s">
        <v>987</v>
      </c>
      <c r="B97" s="65" t="s">
        <v>988</v>
      </c>
      <c r="C97" s="65" t="s">
        <v>777</v>
      </c>
      <c r="D97" s="66"/>
      <c r="E97" s="53"/>
      <c r="F97" s="53"/>
      <c r="G97" s="52"/>
      <c r="H97" s="67"/>
      <c r="I97" s="67"/>
      <c r="J97" s="67"/>
      <c r="K97" s="67"/>
      <c r="L97" s="67">
        <f t="shared" si="0"/>
        <v>0</v>
      </c>
    </row>
    <row r="98" spans="1:12" s="44" customFormat="1" ht="86.25" customHeight="1">
      <c r="A98" s="64" t="s">
        <v>989</v>
      </c>
      <c r="B98" s="65" t="s">
        <v>990</v>
      </c>
      <c r="C98" s="65" t="s">
        <v>777</v>
      </c>
      <c r="D98" s="66">
        <v>854</v>
      </c>
      <c r="E98" s="53" t="s">
        <v>810</v>
      </c>
      <c r="F98" s="53" t="s">
        <v>991</v>
      </c>
      <c r="G98" s="52" t="s">
        <v>992</v>
      </c>
      <c r="H98" s="67"/>
      <c r="I98" s="67">
        <f>ROUND(46122909/1000,1)</f>
        <v>46122.9</v>
      </c>
      <c r="J98" s="67">
        <f>ROUND(46193972/1000,1)</f>
        <v>46194</v>
      </c>
      <c r="K98" s="67">
        <f>ROUND(46266218/1000,1)</f>
        <v>46266.2</v>
      </c>
      <c r="L98" s="67">
        <f t="shared" si="0"/>
        <v>138583.09999999998</v>
      </c>
    </row>
    <row r="99" spans="1:12" s="44" customFormat="1" ht="41.25" customHeight="1">
      <c r="A99" s="64" t="s">
        <v>993</v>
      </c>
      <c r="B99" s="65" t="s">
        <v>813</v>
      </c>
      <c r="C99" s="65" t="s">
        <v>773</v>
      </c>
      <c r="D99" s="68" t="s">
        <v>915</v>
      </c>
      <c r="E99" s="68" t="s">
        <v>814</v>
      </c>
      <c r="F99" s="49" t="s">
        <v>994</v>
      </c>
      <c r="G99" s="49">
        <v>414</v>
      </c>
      <c r="H99" s="67"/>
      <c r="I99" s="67">
        <f>'[1]Таблица 7а'!$J$67</f>
        <v>16500</v>
      </c>
      <c r="J99" s="67">
        <v>0</v>
      </c>
      <c r="K99" s="67">
        <v>0</v>
      </c>
      <c r="L99" s="67">
        <f t="shared" si="0"/>
        <v>16500</v>
      </c>
    </row>
    <row r="100" spans="1:13" s="44" customFormat="1" ht="27.75" customHeight="1">
      <c r="A100" s="65" t="s">
        <v>995</v>
      </c>
      <c r="B100" s="65" t="s">
        <v>996</v>
      </c>
      <c r="C100" s="65" t="s">
        <v>777</v>
      </c>
      <c r="D100" s="66">
        <v>854</v>
      </c>
      <c r="E100" s="53" t="s">
        <v>814</v>
      </c>
      <c r="F100" s="53" t="s">
        <v>997</v>
      </c>
      <c r="G100" s="52">
        <v>612</v>
      </c>
      <c r="H100" s="67"/>
      <c r="I100" s="67">
        <f>ROUND(721664/1000,1)</f>
        <v>721.7</v>
      </c>
      <c r="J100" s="67">
        <f>ROUND(776230/1000,1)</f>
        <v>776.2</v>
      </c>
      <c r="K100" s="67">
        <f>ROUND(776230/1000,1)</f>
        <v>776.2</v>
      </c>
      <c r="L100" s="67">
        <f t="shared" si="0"/>
        <v>2274.1000000000004</v>
      </c>
      <c r="M100" s="42"/>
    </row>
    <row r="101" spans="1:13" s="44" customFormat="1" ht="27.75" customHeight="1">
      <c r="A101" s="65"/>
      <c r="B101" s="65"/>
      <c r="C101" s="65"/>
      <c r="D101" s="66">
        <v>854</v>
      </c>
      <c r="E101" s="53" t="s">
        <v>814</v>
      </c>
      <c r="F101" s="53" t="s">
        <v>998</v>
      </c>
      <c r="G101" s="49">
        <v>612</v>
      </c>
      <c r="H101" s="67"/>
      <c r="I101" s="67">
        <v>4812</v>
      </c>
      <c r="J101" s="67">
        <v>0</v>
      </c>
      <c r="K101" s="67">
        <v>0</v>
      </c>
      <c r="L101" s="67"/>
      <c r="M101" s="42"/>
    </row>
    <row r="102" spans="1:12" s="44" customFormat="1" ht="38.25" customHeight="1">
      <c r="A102" s="65" t="s">
        <v>999</v>
      </c>
      <c r="B102" s="65" t="s">
        <v>1000</v>
      </c>
      <c r="C102" s="65" t="s">
        <v>777</v>
      </c>
      <c r="D102" s="66"/>
      <c r="E102" s="53"/>
      <c r="F102" s="53"/>
      <c r="G102" s="52"/>
      <c r="H102" s="67"/>
      <c r="I102" s="67"/>
      <c r="J102" s="67"/>
      <c r="K102" s="67"/>
      <c r="L102" s="67">
        <f aca="true" t="shared" si="1" ref="L102:L103">I102+J102+K102</f>
        <v>0</v>
      </c>
    </row>
    <row r="103" spans="1:12" s="44" customFormat="1" ht="28.5" customHeight="1">
      <c r="A103" s="65" t="s">
        <v>1001</v>
      </c>
      <c r="B103" s="65" t="s">
        <v>1002</v>
      </c>
      <c r="C103" s="65" t="s">
        <v>777</v>
      </c>
      <c r="D103" s="66">
        <v>854</v>
      </c>
      <c r="E103" s="53" t="s">
        <v>814</v>
      </c>
      <c r="F103" s="53" t="s">
        <v>1003</v>
      </c>
      <c r="G103" s="52">
        <v>612</v>
      </c>
      <c r="H103" s="67"/>
      <c r="I103" s="67">
        <f>ROUND(660000/1000,1)</f>
        <v>660</v>
      </c>
      <c r="J103" s="67">
        <f>ROUND(729036/1000,1)</f>
        <v>729</v>
      </c>
      <c r="K103" s="67">
        <f>ROUND(729036/1000,1)</f>
        <v>729</v>
      </c>
      <c r="L103" s="67">
        <f t="shared" si="1"/>
        <v>2118</v>
      </c>
    </row>
    <row r="104" spans="1:12" s="44" customFormat="1" ht="28.5" customHeight="1">
      <c r="A104" s="65"/>
      <c r="B104" s="65"/>
      <c r="C104" s="65"/>
      <c r="D104" s="66">
        <v>854</v>
      </c>
      <c r="E104" s="53" t="s">
        <v>814</v>
      </c>
      <c r="F104" s="53" t="s">
        <v>1004</v>
      </c>
      <c r="G104" s="49">
        <v>612</v>
      </c>
      <c r="H104" s="67"/>
      <c r="I104" s="67">
        <v>4007.9</v>
      </c>
      <c r="J104" s="67">
        <v>0</v>
      </c>
      <c r="K104" s="67">
        <v>0</v>
      </c>
      <c r="L104" s="67"/>
    </row>
    <row r="105" spans="1:12" s="44" customFormat="1" ht="39.75" customHeight="1">
      <c r="A105" s="65" t="s">
        <v>1005</v>
      </c>
      <c r="B105" s="65" t="s">
        <v>1006</v>
      </c>
      <c r="C105" s="65" t="s">
        <v>777</v>
      </c>
      <c r="D105" s="66"/>
      <c r="E105" s="53"/>
      <c r="F105" s="53"/>
      <c r="G105" s="52"/>
      <c r="H105" s="67"/>
      <c r="I105" s="67"/>
      <c r="J105" s="67"/>
      <c r="K105" s="67"/>
      <c r="L105" s="67">
        <f aca="true" t="shared" si="2" ref="L105:L168">I105+J105+K105</f>
        <v>0</v>
      </c>
    </row>
    <row r="106" spans="1:13" s="44" customFormat="1" ht="90.75" customHeight="1">
      <c r="A106" s="65" t="s">
        <v>1007</v>
      </c>
      <c r="B106" s="65" t="s">
        <v>1008</v>
      </c>
      <c r="C106" s="65" t="s">
        <v>777</v>
      </c>
      <c r="D106" s="66"/>
      <c r="E106" s="53"/>
      <c r="F106" s="53"/>
      <c r="G106" s="52"/>
      <c r="H106" s="67"/>
      <c r="I106" s="67"/>
      <c r="J106" s="67"/>
      <c r="K106" s="67"/>
      <c r="L106" s="67">
        <f t="shared" si="2"/>
        <v>0</v>
      </c>
      <c r="M106" s="42"/>
    </row>
    <row r="107" spans="1:12" s="44" customFormat="1" ht="78.75" customHeight="1">
      <c r="A107" s="65" t="s">
        <v>1009</v>
      </c>
      <c r="B107" s="65" t="s">
        <v>1010</v>
      </c>
      <c r="C107" s="65" t="s">
        <v>777</v>
      </c>
      <c r="D107" s="66"/>
      <c r="E107" s="53"/>
      <c r="F107" s="53"/>
      <c r="G107" s="52"/>
      <c r="H107" s="67"/>
      <c r="I107" s="67"/>
      <c r="J107" s="67"/>
      <c r="K107" s="67"/>
      <c r="L107" s="67">
        <f t="shared" si="2"/>
        <v>0</v>
      </c>
    </row>
    <row r="108" spans="1:12" s="44" customFormat="1" ht="42" customHeight="1">
      <c r="A108" s="65" t="s">
        <v>1011</v>
      </c>
      <c r="B108" s="65" t="s">
        <v>1012</v>
      </c>
      <c r="C108" s="65" t="s">
        <v>777</v>
      </c>
      <c r="D108" s="66"/>
      <c r="E108" s="53"/>
      <c r="F108" s="53"/>
      <c r="G108" s="52"/>
      <c r="H108" s="67"/>
      <c r="I108" s="67"/>
      <c r="J108" s="67"/>
      <c r="K108" s="67"/>
      <c r="L108" s="67">
        <f t="shared" si="2"/>
        <v>0</v>
      </c>
    </row>
    <row r="109" spans="1:12" s="44" customFormat="1" ht="42" customHeight="1">
      <c r="A109" s="65" t="s">
        <v>1013</v>
      </c>
      <c r="B109" s="65" t="s">
        <v>813</v>
      </c>
      <c r="C109" s="65" t="s">
        <v>773</v>
      </c>
      <c r="D109" s="68" t="s">
        <v>915</v>
      </c>
      <c r="E109" s="68" t="s">
        <v>1014</v>
      </c>
      <c r="F109" s="49" t="s">
        <v>1015</v>
      </c>
      <c r="G109" s="49">
        <v>414</v>
      </c>
      <c r="H109" s="67"/>
      <c r="I109" s="67">
        <f>'[1]Таблица 7а'!$J$72</f>
        <v>0</v>
      </c>
      <c r="J109" s="67">
        <f>'[1]Таблица 7а'!$K$72</f>
        <v>0</v>
      </c>
      <c r="K109" s="67">
        <f>'[1]Таблица 7а'!$L$72</f>
        <v>0</v>
      </c>
      <c r="L109" s="67">
        <f t="shared" si="2"/>
        <v>0</v>
      </c>
    </row>
    <row r="110" spans="1:13" s="70" customFormat="1" ht="61.5" customHeight="1">
      <c r="A110" s="65" t="s">
        <v>1016</v>
      </c>
      <c r="B110" s="19" t="s">
        <v>1017</v>
      </c>
      <c r="C110" s="65" t="s">
        <v>777</v>
      </c>
      <c r="D110" s="66"/>
      <c r="E110" s="68"/>
      <c r="F110" s="68"/>
      <c r="G110" s="49"/>
      <c r="H110" s="67"/>
      <c r="I110" s="67"/>
      <c r="J110" s="67"/>
      <c r="K110" s="67"/>
      <c r="L110" s="67">
        <f t="shared" si="2"/>
        <v>0</v>
      </c>
      <c r="M110" s="79"/>
    </row>
    <row r="111" spans="1:12" s="70" customFormat="1" ht="40.5" customHeight="1">
      <c r="A111" s="65" t="s">
        <v>1018</v>
      </c>
      <c r="B111" s="65" t="s">
        <v>1019</v>
      </c>
      <c r="C111" s="65" t="s">
        <v>777</v>
      </c>
      <c r="D111" s="66"/>
      <c r="E111" s="68"/>
      <c r="F111" s="68"/>
      <c r="G111" s="49"/>
      <c r="H111" s="67"/>
      <c r="I111" s="67"/>
      <c r="J111" s="67"/>
      <c r="K111" s="67"/>
      <c r="L111" s="67">
        <f t="shared" si="2"/>
        <v>0</v>
      </c>
    </row>
    <row r="112" spans="1:12" s="70" customFormat="1" ht="75.75" customHeight="1">
      <c r="A112" s="65" t="s">
        <v>1020</v>
      </c>
      <c r="B112" s="65" t="s">
        <v>1021</v>
      </c>
      <c r="C112" s="65" t="s">
        <v>777</v>
      </c>
      <c r="D112" s="66"/>
      <c r="E112" s="68"/>
      <c r="F112" s="68"/>
      <c r="G112" s="49"/>
      <c r="H112" s="67"/>
      <c r="I112" s="67"/>
      <c r="J112" s="67"/>
      <c r="K112" s="67"/>
      <c r="L112" s="67">
        <f t="shared" si="2"/>
        <v>0</v>
      </c>
    </row>
    <row r="113" spans="1:12" s="70" customFormat="1" ht="57" customHeight="1">
      <c r="A113" s="65" t="s">
        <v>1022</v>
      </c>
      <c r="B113" s="65" t="s">
        <v>1023</v>
      </c>
      <c r="C113" s="65" t="s">
        <v>777</v>
      </c>
      <c r="D113" s="66"/>
      <c r="E113" s="68"/>
      <c r="F113" s="68"/>
      <c r="G113" s="49"/>
      <c r="H113" s="67"/>
      <c r="I113" s="67"/>
      <c r="J113" s="67"/>
      <c r="K113" s="67"/>
      <c r="L113" s="67">
        <f t="shared" si="2"/>
        <v>0</v>
      </c>
    </row>
    <row r="114" spans="1:12" s="44" customFormat="1" ht="39" customHeight="1">
      <c r="A114" s="65" t="s">
        <v>1024</v>
      </c>
      <c r="B114" s="65" t="s">
        <v>1025</v>
      </c>
      <c r="C114" s="65" t="s">
        <v>777</v>
      </c>
      <c r="D114" s="66">
        <v>854</v>
      </c>
      <c r="E114" s="53" t="s">
        <v>814</v>
      </c>
      <c r="F114" s="53" t="s">
        <v>1026</v>
      </c>
      <c r="G114" s="52">
        <v>612</v>
      </c>
      <c r="H114" s="67"/>
      <c r="I114" s="67">
        <f>ROUND(21089842/1000,1)</f>
        <v>21089.8</v>
      </c>
      <c r="J114" s="67">
        <f>ROUND(21089842/1000,1)</f>
        <v>21089.8</v>
      </c>
      <c r="K114" s="67">
        <f>ROUND(21089842/1000,1)</f>
        <v>21089.8</v>
      </c>
      <c r="L114" s="67">
        <f t="shared" si="2"/>
        <v>63269.399999999994</v>
      </c>
    </row>
    <row r="115" spans="1:12" s="44" customFormat="1" ht="78" customHeight="1">
      <c r="A115" s="65" t="s">
        <v>1027</v>
      </c>
      <c r="B115" s="65" t="s">
        <v>1028</v>
      </c>
      <c r="C115" s="65" t="s">
        <v>777</v>
      </c>
      <c r="D115" s="66">
        <v>854</v>
      </c>
      <c r="E115" s="53" t="s">
        <v>810</v>
      </c>
      <c r="F115" s="53" t="s">
        <v>1029</v>
      </c>
      <c r="G115" s="52">
        <v>611</v>
      </c>
      <c r="H115" s="67"/>
      <c r="I115" s="67">
        <f>ROUND(52808734/1000,1)</f>
        <v>52808.7</v>
      </c>
      <c r="J115" s="67">
        <f>ROUND(53241905/1000,1)</f>
        <v>53241.9</v>
      </c>
      <c r="K115" s="67">
        <f>ROUND(53682282/1000,1)</f>
        <v>53682.3</v>
      </c>
      <c r="L115" s="67">
        <f t="shared" si="2"/>
        <v>159732.90000000002</v>
      </c>
    </row>
    <row r="116" spans="1:12" s="44" customFormat="1" ht="42.75" customHeight="1">
      <c r="A116" s="65" t="s">
        <v>1030</v>
      </c>
      <c r="B116" s="65" t="s">
        <v>1031</v>
      </c>
      <c r="C116" s="65" t="s">
        <v>777</v>
      </c>
      <c r="D116" s="66"/>
      <c r="E116" s="53"/>
      <c r="F116" s="53"/>
      <c r="G116" s="52"/>
      <c r="H116" s="67"/>
      <c r="I116" s="67"/>
      <c r="J116" s="67"/>
      <c r="K116" s="67"/>
      <c r="L116" s="67">
        <f t="shared" si="2"/>
        <v>0</v>
      </c>
    </row>
    <row r="117" spans="1:12" s="44" customFormat="1" ht="76.5" customHeight="1">
      <c r="A117" s="65" t="s">
        <v>1032</v>
      </c>
      <c r="B117" s="19" t="s">
        <v>1033</v>
      </c>
      <c r="C117" s="65" t="s">
        <v>777</v>
      </c>
      <c r="D117" s="66"/>
      <c r="E117" s="53"/>
      <c r="F117" s="53"/>
      <c r="G117" s="52"/>
      <c r="H117" s="67"/>
      <c r="I117" s="67"/>
      <c r="J117" s="67"/>
      <c r="K117" s="67"/>
      <c r="L117" s="67">
        <f t="shared" si="2"/>
        <v>0</v>
      </c>
    </row>
    <row r="118" spans="1:12" s="44" customFormat="1" ht="60" customHeight="1">
      <c r="A118" s="65" t="s">
        <v>1034</v>
      </c>
      <c r="B118" s="65" t="s">
        <v>1035</v>
      </c>
      <c r="C118" s="65" t="s">
        <v>777</v>
      </c>
      <c r="D118" s="66"/>
      <c r="E118" s="53"/>
      <c r="F118" s="53"/>
      <c r="G118" s="52"/>
      <c r="H118" s="67"/>
      <c r="I118" s="67"/>
      <c r="J118" s="67"/>
      <c r="K118" s="67"/>
      <c r="L118" s="67">
        <f t="shared" si="2"/>
        <v>0</v>
      </c>
    </row>
    <row r="119" spans="1:12" s="44" customFormat="1" ht="41.25" customHeight="1">
      <c r="A119" s="65" t="s">
        <v>1036</v>
      </c>
      <c r="B119" s="65" t="s">
        <v>1037</v>
      </c>
      <c r="C119" s="65" t="s">
        <v>777</v>
      </c>
      <c r="D119" s="66">
        <v>854</v>
      </c>
      <c r="E119" s="53" t="s">
        <v>814</v>
      </c>
      <c r="F119" s="53" t="s">
        <v>1038</v>
      </c>
      <c r="G119" s="52">
        <v>612</v>
      </c>
      <c r="H119" s="67"/>
      <c r="I119" s="67">
        <f>ROUND(380160/1000,1)</f>
        <v>380.2</v>
      </c>
      <c r="J119" s="67">
        <f>ROUND(419925/1000,1)</f>
        <v>419.9</v>
      </c>
      <c r="K119" s="67">
        <f>ROUND(419925/1000,1)</f>
        <v>419.9</v>
      </c>
      <c r="L119" s="67">
        <f t="shared" si="2"/>
        <v>1220</v>
      </c>
    </row>
    <row r="120" spans="1:12" s="44" customFormat="1" ht="41.25" customHeight="1">
      <c r="A120" s="65" t="s">
        <v>1039</v>
      </c>
      <c r="B120" s="65" t="s">
        <v>1040</v>
      </c>
      <c r="C120" s="65" t="s">
        <v>777</v>
      </c>
      <c r="D120" s="66"/>
      <c r="E120" s="53"/>
      <c r="F120" s="53"/>
      <c r="G120" s="52"/>
      <c r="H120" s="67"/>
      <c r="I120" s="67"/>
      <c r="J120" s="67"/>
      <c r="K120" s="67"/>
      <c r="L120" s="67">
        <f t="shared" si="2"/>
        <v>0</v>
      </c>
    </row>
    <row r="121" spans="1:12" s="44" customFormat="1" ht="41.25" customHeight="1">
      <c r="A121" s="65" t="s">
        <v>1041</v>
      </c>
      <c r="B121" s="19" t="s">
        <v>1042</v>
      </c>
      <c r="C121" s="65" t="s">
        <v>777</v>
      </c>
      <c r="D121" s="66">
        <v>854</v>
      </c>
      <c r="E121" s="53" t="s">
        <v>855</v>
      </c>
      <c r="F121" s="53" t="s">
        <v>1043</v>
      </c>
      <c r="G121" s="52" t="s">
        <v>1044</v>
      </c>
      <c r="H121" s="67"/>
      <c r="I121" s="67">
        <f>ROUND(206229551/1000,1)</f>
        <v>206229.6</v>
      </c>
      <c r="J121" s="67">
        <f>ROUND(207324264/1000,1)</f>
        <v>207324.3</v>
      </c>
      <c r="K121" s="67">
        <f>ROUND(208437193/1000,1)</f>
        <v>208437.2</v>
      </c>
      <c r="L121" s="67">
        <f t="shared" si="2"/>
        <v>621991.1000000001</v>
      </c>
    </row>
    <row r="122" spans="1:12" s="44" customFormat="1" ht="41.25" customHeight="1">
      <c r="A122" s="65" t="s">
        <v>1045</v>
      </c>
      <c r="B122" s="65" t="s">
        <v>1046</v>
      </c>
      <c r="C122" s="65" t="s">
        <v>777</v>
      </c>
      <c r="D122" s="66">
        <v>854</v>
      </c>
      <c r="E122" s="53" t="s">
        <v>786</v>
      </c>
      <c r="F122" s="53" t="s">
        <v>1047</v>
      </c>
      <c r="G122" s="52">
        <v>611</v>
      </c>
      <c r="H122" s="67"/>
      <c r="I122" s="67">
        <f>ROUND(375541913/1000,1)</f>
        <v>375541.9</v>
      </c>
      <c r="J122" s="67">
        <f>ROUND(376436825/1000,1)</f>
        <v>376436.8</v>
      </c>
      <c r="K122" s="67">
        <f>ROUND(377346622/1000,1)</f>
        <v>377346.6</v>
      </c>
      <c r="L122" s="67">
        <f t="shared" si="2"/>
        <v>1129325.2999999998</v>
      </c>
    </row>
    <row r="123" spans="1:13" s="44" customFormat="1" ht="42.75" customHeight="1">
      <c r="A123" s="65" t="s">
        <v>1048</v>
      </c>
      <c r="B123" s="65" t="s">
        <v>1049</v>
      </c>
      <c r="C123" s="65" t="s">
        <v>777</v>
      </c>
      <c r="D123" s="66"/>
      <c r="E123" s="53"/>
      <c r="F123" s="53"/>
      <c r="G123" s="52"/>
      <c r="H123" s="67"/>
      <c r="I123" s="67"/>
      <c r="J123" s="67"/>
      <c r="K123" s="67"/>
      <c r="L123" s="67">
        <f t="shared" si="2"/>
        <v>0</v>
      </c>
      <c r="M123" s="42"/>
    </row>
    <row r="124" spans="1:12" s="44" customFormat="1" ht="42.75" customHeight="1">
      <c r="A124" s="65" t="s">
        <v>1050</v>
      </c>
      <c r="B124" s="19" t="s">
        <v>1051</v>
      </c>
      <c r="C124" s="65" t="s">
        <v>777</v>
      </c>
      <c r="D124" s="66"/>
      <c r="E124" s="53"/>
      <c r="F124" s="53"/>
      <c r="G124" s="52"/>
      <c r="H124" s="67"/>
      <c r="I124" s="67"/>
      <c r="J124" s="67"/>
      <c r="K124" s="67"/>
      <c r="L124" s="67">
        <f t="shared" si="2"/>
        <v>0</v>
      </c>
    </row>
    <row r="125" spans="1:12" s="44" customFormat="1" ht="42.75" customHeight="1">
      <c r="A125" s="65" t="s">
        <v>1052</v>
      </c>
      <c r="B125" s="65" t="s">
        <v>1053</v>
      </c>
      <c r="C125" s="65" t="s">
        <v>777</v>
      </c>
      <c r="D125" s="66"/>
      <c r="E125" s="53"/>
      <c r="F125" s="53"/>
      <c r="G125" s="52"/>
      <c r="H125" s="67"/>
      <c r="I125" s="67"/>
      <c r="J125" s="67"/>
      <c r="K125" s="67"/>
      <c r="L125" s="67">
        <f t="shared" si="2"/>
        <v>0</v>
      </c>
    </row>
    <row r="126" spans="1:13" s="44" customFormat="1" ht="40.5" customHeight="1">
      <c r="A126" s="65" t="s">
        <v>1054</v>
      </c>
      <c r="B126" s="65" t="s">
        <v>1055</v>
      </c>
      <c r="C126" s="65" t="s">
        <v>777</v>
      </c>
      <c r="D126" s="66"/>
      <c r="E126" s="53"/>
      <c r="F126" s="53"/>
      <c r="G126" s="52"/>
      <c r="H126" s="67"/>
      <c r="I126" s="67"/>
      <c r="J126" s="67"/>
      <c r="K126" s="67"/>
      <c r="L126" s="67">
        <f t="shared" si="2"/>
        <v>0</v>
      </c>
      <c r="M126" s="42"/>
    </row>
    <row r="127" spans="1:12" s="44" customFormat="1" ht="40.5" customHeight="1">
      <c r="A127" s="65" t="s">
        <v>1056</v>
      </c>
      <c r="B127" s="65" t="s">
        <v>1057</v>
      </c>
      <c r="C127" s="65" t="s">
        <v>777</v>
      </c>
      <c r="D127" s="66">
        <v>854</v>
      </c>
      <c r="E127" s="53" t="s">
        <v>814</v>
      </c>
      <c r="F127" s="53" t="s">
        <v>1058</v>
      </c>
      <c r="G127" s="52">
        <v>612</v>
      </c>
      <c r="H127" s="67"/>
      <c r="I127" s="67">
        <f>ROUND(105600/1000,1)</f>
        <v>105.6</v>
      </c>
      <c r="J127" s="67">
        <f>ROUND(116646/1000,1)</f>
        <v>116.6</v>
      </c>
      <c r="K127" s="67">
        <f>ROUND(116646/1000,1)</f>
        <v>116.6</v>
      </c>
      <c r="L127" s="67">
        <f t="shared" si="2"/>
        <v>338.79999999999995</v>
      </c>
    </row>
    <row r="128" spans="1:12" s="70" customFormat="1" ht="49.5" customHeight="1">
      <c r="A128" s="65" t="s">
        <v>1059</v>
      </c>
      <c r="B128" s="65" t="s">
        <v>1060</v>
      </c>
      <c r="C128" s="65" t="s">
        <v>777</v>
      </c>
      <c r="D128" s="66">
        <v>854</v>
      </c>
      <c r="E128" s="68" t="s">
        <v>810</v>
      </c>
      <c r="F128" s="68" t="s">
        <v>1061</v>
      </c>
      <c r="G128" s="49" t="s">
        <v>992</v>
      </c>
      <c r="H128" s="67"/>
      <c r="I128" s="67">
        <f>ROUND(8544061/1000,1)</f>
        <v>8544.1</v>
      </c>
      <c r="J128" s="67">
        <f>ROUND(8582672/1000,1)</f>
        <v>8582.7</v>
      </c>
      <c r="K128" s="67">
        <f>ROUND(8621925/1000,1)</f>
        <v>8621.9</v>
      </c>
      <c r="L128" s="67">
        <f t="shared" si="2"/>
        <v>25748.700000000004</v>
      </c>
    </row>
    <row r="129" spans="1:13" s="79" customFormat="1" ht="44.25" customHeight="1">
      <c r="A129" s="54" t="s">
        <v>1062</v>
      </c>
      <c r="B129" s="80" t="s">
        <v>1063</v>
      </c>
      <c r="C129" s="55" t="s">
        <v>770</v>
      </c>
      <c r="D129" s="54"/>
      <c r="E129" s="63" t="s">
        <v>776</v>
      </c>
      <c r="F129" s="63" t="s">
        <v>776</v>
      </c>
      <c r="G129" s="63" t="s">
        <v>776</v>
      </c>
      <c r="H129" s="60"/>
      <c r="I129" s="60">
        <f>I130+I131</f>
        <v>1112033.8</v>
      </c>
      <c r="J129" s="60">
        <f>J130+J131</f>
        <v>583044.8</v>
      </c>
      <c r="K129" s="60">
        <f>K130+K131</f>
        <v>84072.6</v>
      </c>
      <c r="L129" s="60">
        <f t="shared" si="2"/>
        <v>1779151.2000000002</v>
      </c>
      <c r="M129" s="70"/>
    </row>
    <row r="130" spans="1:13" s="79" customFormat="1" ht="60.75" customHeight="1">
      <c r="A130" s="54"/>
      <c r="B130" s="80"/>
      <c r="C130" s="55" t="s">
        <v>773</v>
      </c>
      <c r="D130" s="54">
        <v>828</v>
      </c>
      <c r="E130" s="63"/>
      <c r="F130" s="63"/>
      <c r="G130" s="63"/>
      <c r="H130" s="60"/>
      <c r="I130" s="60">
        <f>I152</f>
        <v>1030000</v>
      </c>
      <c r="J130" s="60">
        <f>J152</f>
        <v>500000</v>
      </c>
      <c r="K130" s="60">
        <f>K152</f>
        <v>0</v>
      </c>
      <c r="L130" s="60">
        <f t="shared" si="2"/>
        <v>1530000</v>
      </c>
      <c r="M130" s="81"/>
    </row>
    <row r="131" spans="1:13" s="79" customFormat="1" ht="44.25" customHeight="1">
      <c r="A131" s="54"/>
      <c r="B131" s="80"/>
      <c r="C131" s="55" t="s">
        <v>777</v>
      </c>
      <c r="D131" s="54">
        <v>854</v>
      </c>
      <c r="E131" s="63"/>
      <c r="F131" s="63"/>
      <c r="G131" s="63"/>
      <c r="H131" s="60"/>
      <c r="I131" s="60">
        <f>SUM(I132:I156)-I152</f>
        <v>82033.80000000005</v>
      </c>
      <c r="J131" s="60">
        <f>SUM(J132:J156)-J152</f>
        <v>83044.80000000005</v>
      </c>
      <c r="K131" s="60">
        <f>SUM(K132:K156)</f>
        <v>84072.6</v>
      </c>
      <c r="L131" s="60">
        <f t="shared" si="2"/>
        <v>249151.2000000001</v>
      </c>
      <c r="M131" s="81"/>
    </row>
    <row r="132" spans="1:13" s="44" customFormat="1" ht="42" customHeight="1">
      <c r="A132" s="65" t="s">
        <v>1064</v>
      </c>
      <c r="B132" s="65" t="s">
        <v>1065</v>
      </c>
      <c r="C132" s="65" t="s">
        <v>777</v>
      </c>
      <c r="D132" s="68"/>
      <c r="E132" s="68"/>
      <c r="F132" s="49"/>
      <c r="G132" s="49"/>
      <c r="H132" s="67"/>
      <c r="I132" s="67"/>
      <c r="J132" s="67"/>
      <c r="K132" s="67"/>
      <c r="L132" s="67">
        <f t="shared" si="2"/>
        <v>0</v>
      </c>
      <c r="M132" s="42"/>
    </row>
    <row r="133" spans="1:12" s="44" customFormat="1" ht="42" customHeight="1">
      <c r="A133" s="65" t="s">
        <v>1066</v>
      </c>
      <c r="B133" s="65" t="s">
        <v>1067</v>
      </c>
      <c r="C133" s="65" t="s">
        <v>777</v>
      </c>
      <c r="D133" s="68"/>
      <c r="E133" s="68"/>
      <c r="F133" s="49"/>
      <c r="G133" s="49"/>
      <c r="H133" s="67"/>
      <c r="I133" s="67"/>
      <c r="J133" s="67"/>
      <c r="K133" s="67"/>
      <c r="L133" s="67">
        <f t="shared" si="2"/>
        <v>0</v>
      </c>
    </row>
    <row r="134" spans="1:12" s="44" customFormat="1" ht="42" customHeight="1">
      <c r="A134" s="65" t="s">
        <v>1068</v>
      </c>
      <c r="B134" s="65" t="s">
        <v>1069</v>
      </c>
      <c r="C134" s="65" t="s">
        <v>777</v>
      </c>
      <c r="D134" s="68"/>
      <c r="E134" s="68"/>
      <c r="F134" s="49"/>
      <c r="G134" s="49"/>
      <c r="H134" s="67"/>
      <c r="I134" s="67"/>
      <c r="J134" s="67"/>
      <c r="K134" s="67"/>
      <c r="L134" s="67">
        <f t="shared" si="2"/>
        <v>0</v>
      </c>
    </row>
    <row r="135" spans="1:12" s="44" customFormat="1" ht="42" customHeight="1">
      <c r="A135" s="65" t="s">
        <v>1070</v>
      </c>
      <c r="B135" s="65" t="s">
        <v>1071</v>
      </c>
      <c r="C135" s="65" t="s">
        <v>777</v>
      </c>
      <c r="D135" s="68"/>
      <c r="E135" s="68"/>
      <c r="F135" s="49"/>
      <c r="G135" s="49"/>
      <c r="H135" s="67"/>
      <c r="I135" s="67"/>
      <c r="J135" s="67"/>
      <c r="K135" s="67"/>
      <c r="L135" s="67">
        <f t="shared" si="2"/>
        <v>0</v>
      </c>
    </row>
    <row r="136" spans="1:12" s="44" customFormat="1" ht="57" customHeight="1">
      <c r="A136" s="65" t="s">
        <v>1072</v>
      </c>
      <c r="B136" s="65" t="s">
        <v>1073</v>
      </c>
      <c r="C136" s="65" t="s">
        <v>777</v>
      </c>
      <c r="D136" s="68"/>
      <c r="E136" s="68"/>
      <c r="F136" s="49"/>
      <c r="G136" s="49"/>
      <c r="H136" s="67"/>
      <c r="I136" s="67"/>
      <c r="J136" s="67"/>
      <c r="K136" s="67"/>
      <c r="L136" s="67">
        <f t="shared" si="2"/>
        <v>0</v>
      </c>
    </row>
    <row r="137" spans="1:13" s="44" customFormat="1" ht="92.25" customHeight="1">
      <c r="A137" s="65" t="s">
        <v>1074</v>
      </c>
      <c r="B137" s="82" t="s">
        <v>1075</v>
      </c>
      <c r="C137" s="65" t="s">
        <v>777</v>
      </c>
      <c r="D137" s="68"/>
      <c r="E137" s="68"/>
      <c r="F137" s="49"/>
      <c r="G137" s="49"/>
      <c r="H137" s="67"/>
      <c r="I137" s="67"/>
      <c r="J137" s="67"/>
      <c r="K137" s="67"/>
      <c r="L137" s="67">
        <f t="shared" si="2"/>
        <v>0</v>
      </c>
      <c r="M137" s="42"/>
    </row>
    <row r="138" spans="1:12" s="44" customFormat="1" ht="58.5" customHeight="1">
      <c r="A138" s="65" t="s">
        <v>1076</v>
      </c>
      <c r="B138" s="19" t="s">
        <v>1077</v>
      </c>
      <c r="C138" s="65" t="s">
        <v>777</v>
      </c>
      <c r="D138" s="68"/>
      <c r="E138" s="68"/>
      <c r="F138" s="49"/>
      <c r="G138" s="49"/>
      <c r="H138" s="67"/>
      <c r="I138" s="67"/>
      <c r="J138" s="67"/>
      <c r="K138" s="67"/>
      <c r="L138" s="67">
        <f t="shared" si="2"/>
        <v>0</v>
      </c>
    </row>
    <row r="139" spans="1:12" s="44" customFormat="1" ht="63.75" customHeight="1">
      <c r="A139" s="65" t="s">
        <v>1078</v>
      </c>
      <c r="B139" s="65" t="s">
        <v>1079</v>
      </c>
      <c r="C139" s="65" t="s">
        <v>777</v>
      </c>
      <c r="D139" s="68"/>
      <c r="E139" s="68"/>
      <c r="F139" s="49"/>
      <c r="G139" s="49"/>
      <c r="H139" s="67"/>
      <c r="I139" s="67"/>
      <c r="J139" s="67"/>
      <c r="K139" s="67"/>
      <c r="L139" s="67">
        <f t="shared" si="2"/>
        <v>0</v>
      </c>
    </row>
    <row r="140" spans="1:12" s="44" customFormat="1" ht="42" customHeight="1">
      <c r="A140" s="65" t="s">
        <v>1080</v>
      </c>
      <c r="B140" s="65" t="s">
        <v>1081</v>
      </c>
      <c r="C140" s="65" t="s">
        <v>777</v>
      </c>
      <c r="D140" s="83"/>
      <c r="E140" s="84"/>
      <c r="F140" s="83"/>
      <c r="G140" s="83"/>
      <c r="H140" s="85"/>
      <c r="I140" s="85"/>
      <c r="J140" s="85"/>
      <c r="K140" s="85"/>
      <c r="L140" s="67">
        <f t="shared" si="2"/>
        <v>0</v>
      </c>
    </row>
    <row r="141" spans="1:12" s="44" customFormat="1" ht="42" customHeight="1">
      <c r="A141" s="65" t="s">
        <v>1082</v>
      </c>
      <c r="B141" s="65" t="s">
        <v>1083</v>
      </c>
      <c r="C141" s="65" t="s">
        <v>777</v>
      </c>
      <c r="D141" s="83"/>
      <c r="E141" s="84"/>
      <c r="F141" s="83"/>
      <c r="G141" s="83"/>
      <c r="H141" s="85"/>
      <c r="I141" s="85"/>
      <c r="J141" s="85"/>
      <c r="K141" s="85"/>
      <c r="L141" s="67">
        <f t="shared" si="2"/>
        <v>0</v>
      </c>
    </row>
    <row r="142" spans="1:12" s="44" customFormat="1" ht="62.25" customHeight="1">
      <c r="A142" s="65" t="s">
        <v>1084</v>
      </c>
      <c r="B142" s="65" t="s">
        <v>1085</v>
      </c>
      <c r="C142" s="65" t="s">
        <v>777</v>
      </c>
      <c r="D142" s="83"/>
      <c r="E142" s="84"/>
      <c r="F142" s="83"/>
      <c r="G142" s="83"/>
      <c r="H142" s="85"/>
      <c r="I142" s="85"/>
      <c r="J142" s="85"/>
      <c r="K142" s="85"/>
      <c r="L142" s="67">
        <f t="shared" si="2"/>
        <v>0</v>
      </c>
    </row>
    <row r="143" spans="1:12" s="44" customFormat="1" ht="40.5" customHeight="1">
      <c r="A143" s="65" t="s">
        <v>1086</v>
      </c>
      <c r="B143" s="65" t="s">
        <v>1087</v>
      </c>
      <c r="C143" s="65" t="s">
        <v>777</v>
      </c>
      <c r="D143" s="83"/>
      <c r="E143" s="84"/>
      <c r="F143" s="83"/>
      <c r="G143" s="83"/>
      <c r="H143" s="85"/>
      <c r="I143" s="85"/>
      <c r="J143" s="85"/>
      <c r="K143" s="85"/>
      <c r="L143" s="67">
        <f t="shared" si="2"/>
        <v>0</v>
      </c>
    </row>
    <row r="144" spans="1:13" s="44" customFormat="1" ht="79.5" customHeight="1">
      <c r="A144" s="65" t="s">
        <v>1088</v>
      </c>
      <c r="B144" s="65" t="s">
        <v>1089</v>
      </c>
      <c r="C144" s="65" t="s">
        <v>777</v>
      </c>
      <c r="D144" s="68"/>
      <c r="E144" s="68"/>
      <c r="F144" s="49"/>
      <c r="G144" s="49"/>
      <c r="H144" s="67"/>
      <c r="I144" s="67"/>
      <c r="J144" s="67"/>
      <c r="K144" s="67"/>
      <c r="L144" s="67">
        <f t="shared" si="2"/>
        <v>0</v>
      </c>
      <c r="M144" s="42"/>
    </row>
    <row r="145" spans="1:12" s="44" customFormat="1" ht="60" customHeight="1">
      <c r="A145" s="65" t="s">
        <v>1090</v>
      </c>
      <c r="B145" s="65" t="s">
        <v>1091</v>
      </c>
      <c r="C145" s="65" t="s">
        <v>777</v>
      </c>
      <c r="D145" s="68"/>
      <c r="E145" s="68"/>
      <c r="F145" s="49"/>
      <c r="G145" s="49"/>
      <c r="H145" s="67"/>
      <c r="I145" s="67"/>
      <c r="J145" s="67"/>
      <c r="K145" s="67"/>
      <c r="L145" s="67">
        <f t="shared" si="2"/>
        <v>0</v>
      </c>
    </row>
    <row r="146" spans="1:12" s="44" customFormat="1" ht="40.5" customHeight="1">
      <c r="A146" s="65" t="s">
        <v>1092</v>
      </c>
      <c r="B146" s="19" t="s">
        <v>1093</v>
      </c>
      <c r="C146" s="65" t="s">
        <v>777</v>
      </c>
      <c r="D146" s="68" t="s">
        <v>1094</v>
      </c>
      <c r="E146" s="68" t="s">
        <v>1014</v>
      </c>
      <c r="F146" s="68" t="s">
        <v>1095</v>
      </c>
      <c r="G146" s="49" t="s">
        <v>1096</v>
      </c>
      <c r="H146" s="67"/>
      <c r="I146" s="67">
        <f>ROUND(36391808/1000,1)</f>
        <v>36391.8</v>
      </c>
      <c r="J146" s="67">
        <f>ROUND(36810931/1000,1)</f>
        <v>36810.9</v>
      </c>
      <c r="K146" s="67">
        <f>ROUND(37237027/1000,1)</f>
        <v>37237</v>
      </c>
      <c r="L146" s="67">
        <f t="shared" si="2"/>
        <v>110439.70000000001</v>
      </c>
    </row>
    <row r="147" spans="1:12" s="44" customFormat="1" ht="58.5" customHeight="1">
      <c r="A147" s="65" t="s">
        <v>1097</v>
      </c>
      <c r="B147" s="65" t="s">
        <v>1098</v>
      </c>
      <c r="C147" s="65" t="s">
        <v>777</v>
      </c>
      <c r="D147" s="68"/>
      <c r="E147" s="68"/>
      <c r="F147" s="68"/>
      <c r="G147" s="49"/>
      <c r="H147" s="67"/>
      <c r="I147" s="67"/>
      <c r="J147" s="67"/>
      <c r="K147" s="67"/>
      <c r="L147" s="67">
        <f t="shared" si="2"/>
        <v>0</v>
      </c>
    </row>
    <row r="148" spans="1:12" s="44" customFormat="1" ht="58.5" customHeight="1">
      <c r="A148" s="65" t="s">
        <v>1099</v>
      </c>
      <c r="B148" s="65" t="s">
        <v>1100</v>
      </c>
      <c r="C148" s="65" t="s">
        <v>777</v>
      </c>
      <c r="D148" s="68"/>
      <c r="E148" s="68"/>
      <c r="F148" s="49"/>
      <c r="G148" s="49"/>
      <c r="H148" s="67"/>
      <c r="I148" s="67"/>
      <c r="J148" s="67"/>
      <c r="K148" s="67"/>
      <c r="L148" s="67">
        <f t="shared" si="2"/>
        <v>0</v>
      </c>
    </row>
    <row r="149" spans="1:12" s="44" customFormat="1" ht="75.75" customHeight="1">
      <c r="A149" s="65" t="s">
        <v>1101</v>
      </c>
      <c r="B149" s="65" t="s">
        <v>1102</v>
      </c>
      <c r="C149" s="65" t="s">
        <v>777</v>
      </c>
      <c r="D149" s="68"/>
      <c r="E149" s="68"/>
      <c r="F149" s="49"/>
      <c r="G149" s="49"/>
      <c r="H149" s="67"/>
      <c r="I149" s="67"/>
      <c r="J149" s="67"/>
      <c r="K149" s="67"/>
      <c r="L149" s="67">
        <f t="shared" si="2"/>
        <v>0</v>
      </c>
    </row>
    <row r="150" spans="1:12" s="44" customFormat="1" ht="41.25" customHeight="1">
      <c r="A150" s="65" t="s">
        <v>1103</v>
      </c>
      <c r="B150" s="76" t="s">
        <v>1104</v>
      </c>
      <c r="C150" s="65" t="s">
        <v>777</v>
      </c>
      <c r="D150" s="68"/>
      <c r="E150" s="68"/>
      <c r="F150" s="49"/>
      <c r="G150" s="49"/>
      <c r="H150" s="67"/>
      <c r="I150" s="67"/>
      <c r="J150" s="67"/>
      <c r="K150" s="67"/>
      <c r="L150" s="67">
        <f t="shared" si="2"/>
        <v>0</v>
      </c>
    </row>
    <row r="151" spans="1:13" s="70" customFormat="1" ht="39.75" customHeight="1">
      <c r="A151" s="65" t="s">
        <v>1105</v>
      </c>
      <c r="B151" s="19" t="s">
        <v>1106</v>
      </c>
      <c r="C151" s="65" t="s">
        <v>777</v>
      </c>
      <c r="D151" s="68" t="s">
        <v>1094</v>
      </c>
      <c r="E151" s="68" t="s">
        <v>1014</v>
      </c>
      <c r="F151" s="49" t="s">
        <v>1107</v>
      </c>
      <c r="G151" s="49" t="s">
        <v>1096</v>
      </c>
      <c r="H151" s="67"/>
      <c r="I151" s="67">
        <f>ROUND(32082670/1000,1)</f>
        <v>32082.7</v>
      </c>
      <c r="J151" s="67">
        <f>ROUND(32674578/1000,1)</f>
        <v>32674.6</v>
      </c>
      <c r="K151" s="67">
        <f>ROUND(33276335/1000,1)</f>
        <v>33276.3</v>
      </c>
      <c r="L151" s="67">
        <f t="shared" si="2"/>
        <v>98033.6</v>
      </c>
      <c r="M151" s="79"/>
    </row>
    <row r="152" spans="1:12" s="44" customFormat="1" ht="39.75" customHeight="1">
      <c r="A152" s="65" t="s">
        <v>1108</v>
      </c>
      <c r="B152" s="65" t="s">
        <v>813</v>
      </c>
      <c r="C152" s="65" t="s">
        <v>773</v>
      </c>
      <c r="D152" s="68" t="s">
        <v>915</v>
      </c>
      <c r="E152" s="68" t="s">
        <v>1014</v>
      </c>
      <c r="F152" s="49" t="s">
        <v>1109</v>
      </c>
      <c r="G152" s="49">
        <v>414</v>
      </c>
      <c r="H152" s="67"/>
      <c r="I152" s="67">
        <f>'[1]Таблица 7а'!$J$78</f>
        <v>1030000</v>
      </c>
      <c r="J152" s="67">
        <f>'[1]Таблица 7а'!$K$78</f>
        <v>500000</v>
      </c>
      <c r="K152" s="67">
        <f>'[1]Таблица 7а'!$L$78</f>
        <v>0</v>
      </c>
      <c r="L152" s="67">
        <f t="shared" si="2"/>
        <v>1530000</v>
      </c>
    </row>
    <row r="153" spans="1:12" s="44" customFormat="1" ht="114" customHeight="1">
      <c r="A153" s="65" t="s">
        <v>1110</v>
      </c>
      <c r="B153" s="19" t="s">
        <v>1111</v>
      </c>
      <c r="C153" s="65" t="s">
        <v>777</v>
      </c>
      <c r="D153" s="68" t="s">
        <v>1094</v>
      </c>
      <c r="E153" s="68" t="s">
        <v>1014</v>
      </c>
      <c r="F153" s="49" t="s">
        <v>1112</v>
      </c>
      <c r="G153" s="49" t="s">
        <v>812</v>
      </c>
      <c r="H153" s="67"/>
      <c r="I153" s="67">
        <f>ROUND(13559273/1000,1)</f>
        <v>13559.3</v>
      </c>
      <c r="J153" s="67">
        <f>ROUND(13559273/1000,1)</f>
        <v>13559.3</v>
      </c>
      <c r="K153" s="67">
        <f>ROUND(13559273/1000,1)</f>
        <v>13559.3</v>
      </c>
      <c r="L153" s="67">
        <f t="shared" si="2"/>
        <v>40677.899999999994</v>
      </c>
    </row>
    <row r="154" spans="1:12" s="44" customFormat="1" ht="55.5" customHeight="1">
      <c r="A154" s="65" t="s">
        <v>1113</v>
      </c>
      <c r="B154" s="19" t="s">
        <v>1114</v>
      </c>
      <c r="C154" s="65" t="s">
        <v>777</v>
      </c>
      <c r="D154" s="68"/>
      <c r="E154" s="68"/>
      <c r="F154" s="49"/>
      <c r="G154" s="49"/>
      <c r="H154" s="67"/>
      <c r="I154" s="67"/>
      <c r="J154" s="67"/>
      <c r="K154" s="67"/>
      <c r="L154" s="67">
        <f t="shared" si="2"/>
        <v>0</v>
      </c>
    </row>
    <row r="155" spans="1:12" s="44" customFormat="1" ht="50.25" customHeight="1">
      <c r="A155" s="65" t="s">
        <v>1115</v>
      </c>
      <c r="B155" s="65" t="s">
        <v>1116</v>
      </c>
      <c r="C155" s="65" t="s">
        <v>777</v>
      </c>
      <c r="D155" s="68"/>
      <c r="E155" s="68"/>
      <c r="F155" s="49"/>
      <c r="G155" s="49"/>
      <c r="H155" s="67"/>
      <c r="I155" s="67"/>
      <c r="J155" s="67"/>
      <c r="K155" s="67"/>
      <c r="L155" s="67">
        <f t="shared" si="2"/>
        <v>0</v>
      </c>
    </row>
    <row r="156" spans="1:12" s="44" customFormat="1" ht="76.5" customHeight="1">
      <c r="A156" s="65" t="s">
        <v>1117</v>
      </c>
      <c r="B156" s="19" t="s">
        <v>1118</v>
      </c>
      <c r="C156" s="65" t="s">
        <v>777</v>
      </c>
      <c r="D156" s="68"/>
      <c r="E156" s="68"/>
      <c r="F156" s="49"/>
      <c r="G156" s="49"/>
      <c r="H156" s="67"/>
      <c r="I156" s="67"/>
      <c r="J156" s="67"/>
      <c r="K156" s="67"/>
      <c r="L156" s="67">
        <f t="shared" si="2"/>
        <v>0</v>
      </c>
    </row>
    <row r="157" spans="1:13" s="79" customFormat="1" ht="36" customHeight="1">
      <c r="A157" s="54" t="s">
        <v>1119</v>
      </c>
      <c r="B157" s="80" t="s">
        <v>1120</v>
      </c>
      <c r="C157" s="55" t="s">
        <v>770</v>
      </c>
      <c r="D157" s="54">
        <v>854</v>
      </c>
      <c r="E157" s="63" t="s">
        <v>776</v>
      </c>
      <c r="F157" s="63" t="s">
        <v>776</v>
      </c>
      <c r="G157" s="63" t="s">
        <v>776</v>
      </c>
      <c r="H157" s="60"/>
      <c r="I157" s="60">
        <f>SUM(I158:I168)</f>
        <v>207439.4</v>
      </c>
      <c r="J157" s="60">
        <f>SUM(J158:J168)</f>
        <v>209211.5</v>
      </c>
      <c r="K157" s="60">
        <f>SUM(K158:K168)</f>
        <v>211013.1</v>
      </c>
      <c r="L157" s="60">
        <f t="shared" si="2"/>
        <v>627664</v>
      </c>
      <c r="M157" s="70"/>
    </row>
    <row r="158" spans="1:13" s="70" customFormat="1" ht="104.25" customHeight="1">
      <c r="A158" s="65" t="s">
        <v>1121</v>
      </c>
      <c r="B158" s="65" t="s">
        <v>1122</v>
      </c>
      <c r="C158" s="65" t="s">
        <v>777</v>
      </c>
      <c r="D158" s="68" t="s">
        <v>1094</v>
      </c>
      <c r="E158" s="68" t="s">
        <v>814</v>
      </c>
      <c r="F158" s="68" t="s">
        <v>1123</v>
      </c>
      <c r="G158" s="49">
        <v>611</v>
      </c>
      <c r="H158" s="67"/>
      <c r="I158" s="67">
        <f>ROUND(63312000/1000,1)</f>
        <v>63312</v>
      </c>
      <c r="J158" s="67">
        <f>ROUND(63312000/1000,1)</f>
        <v>63312</v>
      </c>
      <c r="K158" s="67">
        <f>ROUND(63312000/1000,1)</f>
        <v>63312</v>
      </c>
      <c r="L158" s="67">
        <f t="shared" si="2"/>
        <v>189936</v>
      </c>
      <c r="M158" s="42"/>
    </row>
    <row r="159" spans="1:13" s="44" customFormat="1" ht="69" customHeight="1">
      <c r="A159" s="65" t="s">
        <v>1124</v>
      </c>
      <c r="B159" s="65" t="s">
        <v>1125</v>
      </c>
      <c r="C159" s="65" t="s">
        <v>777</v>
      </c>
      <c r="D159" s="68"/>
      <c r="E159" s="68"/>
      <c r="F159" s="68"/>
      <c r="G159" s="49"/>
      <c r="H159" s="67"/>
      <c r="I159" s="67"/>
      <c r="J159" s="67"/>
      <c r="K159" s="67"/>
      <c r="L159" s="67">
        <f t="shared" si="2"/>
        <v>0</v>
      </c>
      <c r="M159" s="70"/>
    </row>
    <row r="160" spans="1:12" s="44" customFormat="1" ht="39" customHeight="1">
      <c r="A160" s="65" t="s">
        <v>1126</v>
      </c>
      <c r="B160" s="65" t="s">
        <v>1127</v>
      </c>
      <c r="C160" s="65" t="s">
        <v>777</v>
      </c>
      <c r="D160" s="66"/>
      <c r="E160" s="53"/>
      <c r="F160" s="53"/>
      <c r="G160" s="52"/>
      <c r="H160" s="67"/>
      <c r="I160" s="67"/>
      <c r="J160" s="67"/>
      <c r="K160" s="67"/>
      <c r="L160" s="67">
        <f t="shared" si="2"/>
        <v>0</v>
      </c>
    </row>
    <row r="161" spans="1:12" s="44" customFormat="1" ht="53.25" customHeight="1">
      <c r="A161" s="65" t="s">
        <v>1128</v>
      </c>
      <c r="B161" s="65" t="s">
        <v>1129</v>
      </c>
      <c r="C161" s="65" t="s">
        <v>777</v>
      </c>
      <c r="D161" s="66"/>
      <c r="E161" s="53"/>
      <c r="F161" s="53"/>
      <c r="G161" s="52"/>
      <c r="H161" s="67"/>
      <c r="I161" s="67"/>
      <c r="J161" s="67"/>
      <c r="K161" s="67"/>
      <c r="L161" s="67">
        <f t="shared" si="2"/>
        <v>0</v>
      </c>
    </row>
    <row r="162" spans="1:12" s="44" customFormat="1" ht="57" customHeight="1">
      <c r="A162" s="65" t="s">
        <v>1130</v>
      </c>
      <c r="B162" s="65" t="s">
        <v>1131</v>
      </c>
      <c r="C162" s="65" t="s">
        <v>777</v>
      </c>
      <c r="D162" s="66"/>
      <c r="E162" s="53"/>
      <c r="F162" s="53"/>
      <c r="G162" s="52"/>
      <c r="H162" s="67"/>
      <c r="I162" s="67"/>
      <c r="J162" s="67"/>
      <c r="K162" s="67"/>
      <c r="L162" s="67">
        <f t="shared" si="2"/>
        <v>0</v>
      </c>
    </row>
    <row r="163" spans="1:12" s="44" customFormat="1" ht="42.75" customHeight="1">
      <c r="A163" s="65" t="s">
        <v>1132</v>
      </c>
      <c r="B163" s="65" t="s">
        <v>1133</v>
      </c>
      <c r="C163" s="65" t="s">
        <v>777</v>
      </c>
      <c r="D163" s="66">
        <v>854</v>
      </c>
      <c r="E163" s="53" t="s">
        <v>814</v>
      </c>
      <c r="F163" s="53" t="s">
        <v>1134</v>
      </c>
      <c r="G163" s="52">
        <v>611</v>
      </c>
      <c r="H163" s="67"/>
      <c r="I163" s="67">
        <f>ROUND(139139375/1000,1)</f>
        <v>139139.4</v>
      </c>
      <c r="J163" s="67">
        <f>ROUND(140911489/1000,1)</f>
        <v>140911.5</v>
      </c>
      <c r="K163" s="67">
        <f>ROUND(142713088/1000,1)</f>
        <v>142713.1</v>
      </c>
      <c r="L163" s="67">
        <f t="shared" si="2"/>
        <v>422764</v>
      </c>
    </row>
    <row r="164" spans="1:13" s="44" customFormat="1" ht="107.25" customHeight="1">
      <c r="A164" s="65" t="s">
        <v>1135</v>
      </c>
      <c r="B164" s="65" t="s">
        <v>1136</v>
      </c>
      <c r="C164" s="65" t="s">
        <v>777</v>
      </c>
      <c r="D164" s="68" t="s">
        <v>1094</v>
      </c>
      <c r="E164" s="68" t="s">
        <v>814</v>
      </c>
      <c r="F164" s="68" t="s">
        <v>1137</v>
      </c>
      <c r="G164" s="49">
        <v>611</v>
      </c>
      <c r="H164" s="67"/>
      <c r="I164" s="67">
        <f>ROUND(4988000/1000,1)</f>
        <v>4988</v>
      </c>
      <c r="J164" s="67">
        <f>ROUND(4988000/1000,1)</f>
        <v>4988</v>
      </c>
      <c r="K164" s="67">
        <f>ROUND(4988000/1000,1)</f>
        <v>4988</v>
      </c>
      <c r="L164" s="67">
        <f t="shared" si="2"/>
        <v>14964</v>
      </c>
      <c r="M164" s="42"/>
    </row>
    <row r="165" spans="1:12" s="44" customFormat="1" ht="60" customHeight="1">
      <c r="A165" s="65" t="s">
        <v>1138</v>
      </c>
      <c r="B165" s="65" t="s">
        <v>1139</v>
      </c>
      <c r="C165" s="65" t="s">
        <v>777</v>
      </c>
      <c r="D165" s="68"/>
      <c r="E165" s="68"/>
      <c r="F165" s="68"/>
      <c r="G165" s="49"/>
      <c r="H165" s="67"/>
      <c r="I165" s="67"/>
      <c r="J165" s="67"/>
      <c r="K165" s="67"/>
      <c r="L165" s="67">
        <f t="shared" si="2"/>
        <v>0</v>
      </c>
    </row>
    <row r="166" spans="1:12" s="44" customFormat="1" ht="66" customHeight="1">
      <c r="A166" s="65" t="s">
        <v>1140</v>
      </c>
      <c r="B166" s="19" t="s">
        <v>1141</v>
      </c>
      <c r="C166" s="65" t="s">
        <v>777</v>
      </c>
      <c r="D166" s="68"/>
      <c r="E166" s="68"/>
      <c r="F166" s="49"/>
      <c r="G166" s="49"/>
      <c r="H166" s="67"/>
      <c r="I166" s="67"/>
      <c r="J166" s="67"/>
      <c r="K166" s="67"/>
      <c r="L166" s="67">
        <f t="shared" si="2"/>
        <v>0</v>
      </c>
    </row>
    <row r="167" spans="1:12" s="44" customFormat="1" ht="40.5" customHeight="1">
      <c r="A167" s="65" t="s">
        <v>1142</v>
      </c>
      <c r="B167" s="65" t="s">
        <v>1143</v>
      </c>
      <c r="C167" s="65" t="s">
        <v>777</v>
      </c>
      <c r="D167" s="66"/>
      <c r="E167" s="53"/>
      <c r="F167" s="53"/>
      <c r="G167" s="52"/>
      <c r="H167" s="67"/>
      <c r="I167" s="67"/>
      <c r="J167" s="67"/>
      <c r="K167" s="67"/>
      <c r="L167" s="67">
        <f t="shared" si="2"/>
        <v>0</v>
      </c>
    </row>
    <row r="168" spans="1:12" s="44" customFormat="1" ht="60.75" customHeight="1">
      <c r="A168" s="65" t="s">
        <v>1144</v>
      </c>
      <c r="B168" s="65" t="s">
        <v>1145</v>
      </c>
      <c r="C168" s="65" t="s">
        <v>777</v>
      </c>
      <c r="D168" s="66"/>
      <c r="E168" s="53"/>
      <c r="F168" s="53"/>
      <c r="G168" s="52"/>
      <c r="H168" s="67"/>
      <c r="I168" s="67"/>
      <c r="J168" s="67"/>
      <c r="K168" s="67"/>
      <c r="L168" s="67">
        <f t="shared" si="2"/>
        <v>0</v>
      </c>
    </row>
    <row r="169" spans="1:13" s="79" customFormat="1" ht="39" customHeight="1">
      <c r="A169" s="54" t="s">
        <v>1146</v>
      </c>
      <c r="B169" s="80" t="s">
        <v>1147</v>
      </c>
      <c r="C169" s="55" t="s">
        <v>770</v>
      </c>
      <c r="D169" s="54">
        <v>854</v>
      </c>
      <c r="E169" s="63" t="s">
        <v>776</v>
      </c>
      <c r="F169" s="63" t="s">
        <v>776</v>
      </c>
      <c r="G169" s="63" t="s">
        <v>776</v>
      </c>
      <c r="H169" s="60"/>
      <c r="I169" s="60">
        <f>SUM(I170:I191)</f>
        <v>26942.4</v>
      </c>
      <c r="J169" s="60">
        <f>SUM(J170:J191)</f>
        <v>26942.4</v>
      </c>
      <c r="K169" s="60">
        <f>SUM(K170:K191)</f>
        <v>26942.4</v>
      </c>
      <c r="L169" s="60">
        <f>SUM(L170:L191)</f>
        <v>80827.20000000001</v>
      </c>
      <c r="M169" s="70"/>
    </row>
    <row r="170" spans="1:13" s="44" customFormat="1" ht="75.75" customHeight="1">
      <c r="A170" s="65" t="s">
        <v>1148</v>
      </c>
      <c r="B170" s="19" t="s">
        <v>1149</v>
      </c>
      <c r="C170" s="65" t="s">
        <v>777</v>
      </c>
      <c r="D170" s="68"/>
      <c r="E170" s="68"/>
      <c r="F170" s="49"/>
      <c r="G170" s="49"/>
      <c r="H170" s="67"/>
      <c r="I170" s="67"/>
      <c r="J170" s="67"/>
      <c r="K170" s="67"/>
      <c r="L170" s="67">
        <f aca="true" t="shared" si="3" ref="L170:L199">I170+J170+K170</f>
        <v>0</v>
      </c>
      <c r="M170" s="42"/>
    </row>
    <row r="171" spans="1:12" s="44" customFormat="1" ht="39" customHeight="1">
      <c r="A171" s="65" t="s">
        <v>1150</v>
      </c>
      <c r="B171" s="65" t="s">
        <v>1151</v>
      </c>
      <c r="C171" s="65" t="s">
        <v>777</v>
      </c>
      <c r="D171" s="68"/>
      <c r="E171" s="68"/>
      <c r="F171" s="49"/>
      <c r="G171" s="49"/>
      <c r="H171" s="67"/>
      <c r="I171" s="67"/>
      <c r="J171" s="67"/>
      <c r="K171" s="67"/>
      <c r="L171" s="67">
        <f t="shared" si="3"/>
        <v>0</v>
      </c>
    </row>
    <row r="172" spans="1:12" s="44" customFormat="1" ht="74.25" customHeight="1">
      <c r="A172" s="65" t="s">
        <v>1152</v>
      </c>
      <c r="B172" s="19" t="s">
        <v>1153</v>
      </c>
      <c r="C172" s="65" t="s">
        <v>777</v>
      </c>
      <c r="D172" s="66"/>
      <c r="E172" s="53"/>
      <c r="F172" s="53"/>
      <c r="G172" s="52"/>
      <c r="H172" s="67"/>
      <c r="I172" s="67"/>
      <c r="J172" s="67"/>
      <c r="K172" s="67"/>
      <c r="L172" s="67">
        <f t="shared" si="3"/>
        <v>0</v>
      </c>
    </row>
    <row r="173" spans="1:13" s="70" customFormat="1" ht="152.25" customHeight="1">
      <c r="A173" s="65" t="s">
        <v>1154</v>
      </c>
      <c r="B173" s="65" t="s">
        <v>1155</v>
      </c>
      <c r="C173" s="65" t="s">
        <v>777</v>
      </c>
      <c r="D173" s="68" t="s">
        <v>1094</v>
      </c>
      <c r="E173" s="68" t="s">
        <v>1156</v>
      </c>
      <c r="F173" s="68" t="s">
        <v>1157</v>
      </c>
      <c r="G173" s="49" t="s">
        <v>812</v>
      </c>
      <c r="H173" s="67"/>
      <c r="I173" s="67">
        <f>ROUND(19046400/1000,1)</f>
        <v>19046.4</v>
      </c>
      <c r="J173" s="67">
        <f>ROUND(19046400/1000,1)</f>
        <v>19046.4</v>
      </c>
      <c r="K173" s="67">
        <f>ROUND(19046400/1000,1)</f>
        <v>19046.4</v>
      </c>
      <c r="L173" s="67">
        <f t="shared" si="3"/>
        <v>57139.200000000004</v>
      </c>
      <c r="M173" s="42"/>
    </row>
    <row r="174" spans="1:12" s="70" customFormat="1" ht="41.25" customHeight="1">
      <c r="A174" s="65" t="s">
        <v>1158</v>
      </c>
      <c r="B174" s="65" t="s">
        <v>1159</v>
      </c>
      <c r="C174" s="65" t="s">
        <v>777</v>
      </c>
      <c r="D174" s="68"/>
      <c r="E174" s="68"/>
      <c r="F174" s="68"/>
      <c r="G174" s="49"/>
      <c r="H174" s="67"/>
      <c r="I174" s="67"/>
      <c r="J174" s="67"/>
      <c r="K174" s="67"/>
      <c r="L174" s="67">
        <f t="shared" si="3"/>
        <v>0</v>
      </c>
    </row>
    <row r="175" spans="1:12" s="70" customFormat="1" ht="41.25" customHeight="1">
      <c r="A175" s="65" t="s">
        <v>1160</v>
      </c>
      <c r="B175" s="65" t="s">
        <v>1161</v>
      </c>
      <c r="C175" s="65" t="s">
        <v>777</v>
      </c>
      <c r="D175" s="68"/>
      <c r="E175" s="68"/>
      <c r="F175" s="49"/>
      <c r="G175" s="49"/>
      <c r="H175" s="67"/>
      <c r="I175" s="67"/>
      <c r="J175" s="67"/>
      <c r="K175" s="67"/>
      <c r="L175" s="67">
        <f t="shared" si="3"/>
        <v>0</v>
      </c>
    </row>
    <row r="176" spans="1:12" s="70" customFormat="1" ht="41.25" customHeight="1">
      <c r="A176" s="65" t="s">
        <v>1162</v>
      </c>
      <c r="B176" s="65" t="s">
        <v>1163</v>
      </c>
      <c r="C176" s="65" t="s">
        <v>777</v>
      </c>
      <c r="D176" s="68"/>
      <c r="E176" s="68"/>
      <c r="F176" s="49"/>
      <c r="G176" s="49"/>
      <c r="H176" s="67"/>
      <c r="I176" s="67"/>
      <c r="J176" s="67"/>
      <c r="K176" s="67"/>
      <c r="L176" s="67">
        <f t="shared" si="3"/>
        <v>0</v>
      </c>
    </row>
    <row r="177" spans="1:12" s="70" customFormat="1" ht="59.25" customHeight="1">
      <c r="A177" s="65" t="s">
        <v>1164</v>
      </c>
      <c r="B177" s="19" t="s">
        <v>1165</v>
      </c>
      <c r="C177" s="65" t="s">
        <v>777</v>
      </c>
      <c r="D177" s="68"/>
      <c r="E177" s="68"/>
      <c r="F177" s="49"/>
      <c r="G177" s="49"/>
      <c r="H177" s="67"/>
      <c r="I177" s="67"/>
      <c r="J177" s="67"/>
      <c r="K177" s="67"/>
      <c r="L177" s="67">
        <f t="shared" si="3"/>
        <v>0</v>
      </c>
    </row>
    <row r="178" spans="1:13" s="44" customFormat="1" ht="78" customHeight="1">
      <c r="A178" s="65" t="s">
        <v>1166</v>
      </c>
      <c r="B178" s="65" t="s">
        <v>1167</v>
      </c>
      <c r="C178" s="65" t="s">
        <v>777</v>
      </c>
      <c r="D178" s="68" t="s">
        <v>1094</v>
      </c>
      <c r="E178" s="68" t="s">
        <v>1168</v>
      </c>
      <c r="F178" s="68" t="s">
        <v>1169</v>
      </c>
      <c r="G178" s="49" t="s">
        <v>1170</v>
      </c>
      <c r="H178" s="67"/>
      <c r="I178" s="67"/>
      <c r="J178" s="67"/>
      <c r="K178" s="67"/>
      <c r="L178" s="67">
        <f t="shared" si="3"/>
        <v>0</v>
      </c>
      <c r="M178" s="70"/>
    </row>
    <row r="179" spans="1:13" s="70" customFormat="1" ht="132.75" customHeight="1">
      <c r="A179" s="65" t="s">
        <v>1171</v>
      </c>
      <c r="B179" s="65" t="s">
        <v>1172</v>
      </c>
      <c r="C179" s="65" t="s">
        <v>777</v>
      </c>
      <c r="D179" s="68" t="s">
        <v>1094</v>
      </c>
      <c r="E179" s="68" t="s">
        <v>1168</v>
      </c>
      <c r="F179" s="68" t="s">
        <v>1173</v>
      </c>
      <c r="G179" s="49" t="s">
        <v>1170</v>
      </c>
      <c r="H179" s="67"/>
      <c r="I179" s="67">
        <f>ROUND(7400000/1000,1)</f>
        <v>7400</v>
      </c>
      <c r="J179" s="67">
        <f>ROUND(7400000/1000,1)</f>
        <v>7400</v>
      </c>
      <c r="K179" s="67">
        <f>ROUND(7400000/1000,1)</f>
        <v>7400</v>
      </c>
      <c r="L179" s="67">
        <f t="shared" si="3"/>
        <v>22200</v>
      </c>
      <c r="M179" s="44"/>
    </row>
    <row r="180" spans="1:13" s="44" customFormat="1" ht="42.75" customHeight="1">
      <c r="A180" s="65" t="s">
        <v>1174</v>
      </c>
      <c r="B180" s="65" t="s">
        <v>1175</v>
      </c>
      <c r="C180" s="65" t="s">
        <v>777</v>
      </c>
      <c r="D180" s="66"/>
      <c r="E180" s="53"/>
      <c r="F180" s="53"/>
      <c r="G180" s="52"/>
      <c r="H180" s="67"/>
      <c r="I180" s="67"/>
      <c r="J180" s="67"/>
      <c r="K180" s="67"/>
      <c r="L180" s="67">
        <f t="shared" si="3"/>
        <v>0</v>
      </c>
      <c r="M180" s="70"/>
    </row>
    <row r="181" spans="1:13" s="44" customFormat="1" ht="51" customHeight="1">
      <c r="A181" s="65" t="s">
        <v>1176</v>
      </c>
      <c r="B181" s="65" t="s">
        <v>1177</v>
      </c>
      <c r="C181" s="65" t="s">
        <v>777</v>
      </c>
      <c r="D181" s="68"/>
      <c r="E181" s="68"/>
      <c r="F181" s="68"/>
      <c r="G181" s="49"/>
      <c r="H181" s="67"/>
      <c r="I181" s="67"/>
      <c r="J181" s="67"/>
      <c r="K181" s="67"/>
      <c r="L181" s="67">
        <f t="shared" si="3"/>
        <v>0</v>
      </c>
      <c r="M181" s="42"/>
    </row>
    <row r="182" spans="1:12" s="44" customFormat="1" ht="51" customHeight="1">
      <c r="A182" s="65" t="s">
        <v>1178</v>
      </c>
      <c r="B182" s="65" t="s">
        <v>1179</v>
      </c>
      <c r="C182" s="65" t="s">
        <v>777</v>
      </c>
      <c r="D182" s="68"/>
      <c r="E182" s="68"/>
      <c r="F182" s="68"/>
      <c r="G182" s="49"/>
      <c r="H182" s="67"/>
      <c r="I182" s="67"/>
      <c r="J182" s="67"/>
      <c r="K182" s="67"/>
      <c r="L182" s="67">
        <f t="shared" si="3"/>
        <v>0</v>
      </c>
    </row>
    <row r="183" spans="1:12" s="44" customFormat="1" ht="51" customHeight="1">
      <c r="A183" s="65" t="s">
        <v>1180</v>
      </c>
      <c r="B183" s="76" t="s">
        <v>1181</v>
      </c>
      <c r="C183" s="65" t="s">
        <v>777</v>
      </c>
      <c r="D183" s="68" t="s">
        <v>1094</v>
      </c>
      <c r="E183" s="68" t="s">
        <v>855</v>
      </c>
      <c r="F183" s="68" t="s">
        <v>1182</v>
      </c>
      <c r="G183" s="49">
        <v>330</v>
      </c>
      <c r="H183" s="67"/>
      <c r="I183" s="67">
        <f>ROUND(396000/1000,1)</f>
        <v>396</v>
      </c>
      <c r="J183" s="67">
        <f>ROUND(396000/1000,1)</f>
        <v>396</v>
      </c>
      <c r="K183" s="67">
        <f>ROUND(396000/1000,1)</f>
        <v>396</v>
      </c>
      <c r="L183" s="67">
        <f t="shared" si="3"/>
        <v>1188</v>
      </c>
    </row>
    <row r="184" spans="1:12" s="44" customFormat="1" ht="51" customHeight="1">
      <c r="A184" s="65" t="s">
        <v>1183</v>
      </c>
      <c r="B184" s="65" t="s">
        <v>1184</v>
      </c>
      <c r="C184" s="65" t="s">
        <v>777</v>
      </c>
      <c r="D184" s="68" t="s">
        <v>1094</v>
      </c>
      <c r="E184" s="68" t="s">
        <v>855</v>
      </c>
      <c r="F184" s="68" t="s">
        <v>1185</v>
      </c>
      <c r="G184" s="49">
        <v>244</v>
      </c>
      <c r="H184" s="67"/>
      <c r="I184" s="67">
        <f>ROUND(100000/1000,1)</f>
        <v>100</v>
      </c>
      <c r="J184" s="67">
        <f>ROUND(100000/1000,1)</f>
        <v>100</v>
      </c>
      <c r="K184" s="67">
        <f>ROUND(100000/1000,1)</f>
        <v>100</v>
      </c>
      <c r="L184" s="67">
        <f t="shared" si="3"/>
        <v>300</v>
      </c>
    </row>
    <row r="185" spans="1:12" s="44" customFormat="1" ht="63" customHeight="1">
      <c r="A185" s="65" t="s">
        <v>1186</v>
      </c>
      <c r="B185" s="65" t="s">
        <v>1187</v>
      </c>
      <c r="C185" s="65" t="s">
        <v>777</v>
      </c>
      <c r="D185" s="68"/>
      <c r="E185" s="68"/>
      <c r="F185" s="49"/>
      <c r="G185" s="49"/>
      <c r="H185" s="67"/>
      <c r="I185" s="67"/>
      <c r="J185" s="67"/>
      <c r="K185" s="67"/>
      <c r="L185" s="67">
        <f t="shared" si="3"/>
        <v>0</v>
      </c>
    </row>
    <row r="186" spans="1:13" s="44" customFormat="1" ht="72" customHeight="1">
      <c r="A186" s="65" t="s">
        <v>1188</v>
      </c>
      <c r="B186" s="65" t="s">
        <v>1189</v>
      </c>
      <c r="C186" s="65" t="s">
        <v>560</v>
      </c>
      <c r="D186" s="68"/>
      <c r="E186" s="68"/>
      <c r="F186" s="49"/>
      <c r="G186" s="49"/>
      <c r="H186" s="67"/>
      <c r="I186" s="67"/>
      <c r="J186" s="67"/>
      <c r="K186" s="67"/>
      <c r="L186" s="67">
        <f t="shared" si="3"/>
        <v>0</v>
      </c>
      <c r="M186" s="42"/>
    </row>
    <row r="187" spans="1:12" s="44" customFormat="1" ht="57" customHeight="1">
      <c r="A187" s="65" t="s">
        <v>1190</v>
      </c>
      <c r="B187" s="65" t="s">
        <v>1191</v>
      </c>
      <c r="C187" s="65" t="s">
        <v>777</v>
      </c>
      <c r="D187" s="68"/>
      <c r="E187" s="68"/>
      <c r="F187" s="49"/>
      <c r="G187" s="49"/>
      <c r="H187" s="67"/>
      <c r="I187" s="67"/>
      <c r="J187" s="67"/>
      <c r="K187" s="67"/>
      <c r="L187" s="67">
        <f t="shared" si="3"/>
        <v>0</v>
      </c>
    </row>
    <row r="188" spans="1:12" s="44" customFormat="1" ht="57" customHeight="1">
      <c r="A188" s="65" t="s">
        <v>1192</v>
      </c>
      <c r="B188" s="19" t="s">
        <v>1193</v>
      </c>
      <c r="C188" s="65" t="s">
        <v>777</v>
      </c>
      <c r="D188" s="68"/>
      <c r="E188" s="68"/>
      <c r="F188" s="49"/>
      <c r="G188" s="49"/>
      <c r="H188" s="67"/>
      <c r="I188" s="67"/>
      <c r="J188" s="67"/>
      <c r="K188" s="67"/>
      <c r="L188" s="67">
        <f t="shared" si="3"/>
        <v>0</v>
      </c>
    </row>
    <row r="189" spans="1:12" s="44" customFormat="1" ht="47.25" customHeight="1">
      <c r="A189" s="65" t="s">
        <v>1194</v>
      </c>
      <c r="B189" s="65" t="s">
        <v>1195</v>
      </c>
      <c r="C189" s="65" t="s">
        <v>777</v>
      </c>
      <c r="D189" s="68"/>
      <c r="E189" s="68"/>
      <c r="F189" s="49"/>
      <c r="G189" s="49"/>
      <c r="H189" s="67"/>
      <c r="I189" s="67"/>
      <c r="J189" s="67"/>
      <c r="K189" s="67"/>
      <c r="L189" s="67">
        <f t="shared" si="3"/>
        <v>0</v>
      </c>
    </row>
    <row r="190" spans="1:13" s="44" customFormat="1" ht="57.75" customHeight="1">
      <c r="A190" s="65" t="s">
        <v>1196</v>
      </c>
      <c r="B190" s="65" t="s">
        <v>1197</v>
      </c>
      <c r="C190" s="65" t="s">
        <v>777</v>
      </c>
      <c r="D190" s="68"/>
      <c r="E190" s="68"/>
      <c r="F190" s="49"/>
      <c r="G190" s="49"/>
      <c r="H190" s="67"/>
      <c r="I190" s="67"/>
      <c r="J190" s="67"/>
      <c r="K190" s="67"/>
      <c r="L190" s="67">
        <f t="shared" si="3"/>
        <v>0</v>
      </c>
      <c r="M190" s="42"/>
    </row>
    <row r="191" spans="1:12" s="44" customFormat="1" ht="39" customHeight="1">
      <c r="A191" s="65" t="s">
        <v>1198</v>
      </c>
      <c r="B191" s="19" t="s">
        <v>1199</v>
      </c>
      <c r="C191" s="65" t="s">
        <v>777</v>
      </c>
      <c r="D191" s="68"/>
      <c r="E191" s="68"/>
      <c r="F191" s="49"/>
      <c r="G191" s="49"/>
      <c r="H191" s="67"/>
      <c r="I191" s="67"/>
      <c r="J191" s="67"/>
      <c r="K191" s="67"/>
      <c r="L191" s="67">
        <f t="shared" si="3"/>
        <v>0</v>
      </c>
    </row>
    <row r="192" spans="1:13" s="79" customFormat="1" ht="39.75" customHeight="1">
      <c r="A192" s="54" t="s">
        <v>1200</v>
      </c>
      <c r="B192" s="80" t="s">
        <v>1201</v>
      </c>
      <c r="C192" s="55" t="s">
        <v>770</v>
      </c>
      <c r="D192" s="54">
        <v>854</v>
      </c>
      <c r="E192" s="63" t="s">
        <v>776</v>
      </c>
      <c r="F192" s="63" t="s">
        <v>776</v>
      </c>
      <c r="G192" s="63" t="s">
        <v>776</v>
      </c>
      <c r="H192" s="60"/>
      <c r="I192" s="60">
        <f>SUM(I193:I206)</f>
        <v>873900.7</v>
      </c>
      <c r="J192" s="60">
        <f>SUM(J193:J206)</f>
        <v>629328.9</v>
      </c>
      <c r="K192" s="60">
        <f>SUM(K193:K206)</f>
        <v>629328.9</v>
      </c>
      <c r="L192" s="60">
        <f t="shared" si="3"/>
        <v>2132558.5</v>
      </c>
      <c r="M192" s="70"/>
    </row>
    <row r="193" spans="1:13" s="44" customFormat="1" ht="40.5" customHeight="1">
      <c r="A193" s="65" t="s">
        <v>1202</v>
      </c>
      <c r="B193" s="65" t="s">
        <v>1203</v>
      </c>
      <c r="C193" s="65" t="s">
        <v>777</v>
      </c>
      <c r="D193" s="68"/>
      <c r="E193" s="68"/>
      <c r="F193" s="49"/>
      <c r="G193" s="49"/>
      <c r="H193" s="67"/>
      <c r="I193" s="67"/>
      <c r="J193" s="67"/>
      <c r="K193" s="67"/>
      <c r="L193" s="67">
        <f t="shared" si="3"/>
        <v>0</v>
      </c>
      <c r="M193" s="42"/>
    </row>
    <row r="194" spans="1:12" s="44" customFormat="1" ht="58.5" customHeight="1">
      <c r="A194" s="65" t="s">
        <v>1204</v>
      </c>
      <c r="B194" s="19" t="s">
        <v>1205</v>
      </c>
      <c r="C194" s="65" t="s">
        <v>777</v>
      </c>
      <c r="D194" s="68"/>
      <c r="E194" s="68"/>
      <c r="F194" s="49"/>
      <c r="G194" s="49"/>
      <c r="H194" s="67"/>
      <c r="I194" s="67"/>
      <c r="J194" s="67"/>
      <c r="K194" s="67"/>
      <c r="L194" s="67">
        <f t="shared" si="3"/>
        <v>0</v>
      </c>
    </row>
    <row r="195" spans="1:12" s="44" customFormat="1" ht="115.5" customHeight="1">
      <c r="A195" s="65" t="s">
        <v>1206</v>
      </c>
      <c r="B195" s="19" t="s">
        <v>1207</v>
      </c>
      <c r="C195" s="65" t="s">
        <v>777</v>
      </c>
      <c r="D195" s="66">
        <v>854</v>
      </c>
      <c r="E195" s="53" t="s">
        <v>1168</v>
      </c>
      <c r="F195" s="53" t="s">
        <v>1208</v>
      </c>
      <c r="G195" s="52">
        <v>323</v>
      </c>
      <c r="H195" s="67"/>
      <c r="I195" s="67">
        <f>ROUND(409564000/1000,1)</f>
        <v>409564</v>
      </c>
      <c r="J195" s="67">
        <f>ROUND(409564000/1000,1)</f>
        <v>409564</v>
      </c>
      <c r="K195" s="67">
        <f>ROUND(409564000/1000,1)</f>
        <v>409564</v>
      </c>
      <c r="L195" s="67">
        <f t="shared" si="3"/>
        <v>1228692</v>
      </c>
    </row>
    <row r="196" spans="1:12" s="70" customFormat="1" ht="98.25" customHeight="1">
      <c r="A196" s="65" t="s">
        <v>1209</v>
      </c>
      <c r="B196" s="65" t="s">
        <v>1210</v>
      </c>
      <c r="C196" s="65" t="s">
        <v>777</v>
      </c>
      <c r="D196" s="66">
        <v>854</v>
      </c>
      <c r="E196" s="68" t="s">
        <v>1168</v>
      </c>
      <c r="F196" s="68" t="s">
        <v>1211</v>
      </c>
      <c r="G196" s="49">
        <v>323</v>
      </c>
      <c r="H196" s="67"/>
      <c r="I196" s="67">
        <v>117670.4</v>
      </c>
      <c r="J196" s="67">
        <v>117670.4</v>
      </c>
      <c r="K196" s="67">
        <v>117670.4</v>
      </c>
      <c r="L196" s="67">
        <f t="shared" si="3"/>
        <v>353011.19999999995</v>
      </c>
    </row>
    <row r="197" spans="1:12" s="70" customFormat="1" ht="96" customHeight="1">
      <c r="A197" s="65" t="s">
        <v>1212</v>
      </c>
      <c r="B197" s="19" t="s">
        <v>1213</v>
      </c>
      <c r="C197" s="65" t="s">
        <v>777</v>
      </c>
      <c r="D197" s="66">
        <v>854</v>
      </c>
      <c r="E197" s="68" t="s">
        <v>1168</v>
      </c>
      <c r="F197" s="68" t="s">
        <v>1214</v>
      </c>
      <c r="G197" s="49">
        <v>323</v>
      </c>
      <c r="H197" s="67"/>
      <c r="I197" s="67">
        <v>244571.8</v>
      </c>
      <c r="J197" s="67"/>
      <c r="K197" s="67"/>
      <c r="L197" s="67">
        <f t="shared" si="3"/>
        <v>244571.8</v>
      </c>
    </row>
    <row r="198" spans="1:12" s="70" customFormat="1" ht="154.5" customHeight="1">
      <c r="A198" s="65" t="s">
        <v>1215</v>
      </c>
      <c r="B198" s="65" t="s">
        <v>1216</v>
      </c>
      <c r="C198" s="65" t="s">
        <v>777</v>
      </c>
      <c r="D198" s="66">
        <v>854</v>
      </c>
      <c r="E198" s="68" t="s">
        <v>855</v>
      </c>
      <c r="F198" s="68" t="s">
        <v>1217</v>
      </c>
      <c r="G198" s="49">
        <v>612</v>
      </c>
      <c r="H198" s="67"/>
      <c r="I198" s="67">
        <v>29956.1</v>
      </c>
      <c r="J198" s="67">
        <v>29956.1</v>
      </c>
      <c r="K198" s="67">
        <v>29956.1</v>
      </c>
      <c r="L198" s="67">
        <f t="shared" si="3"/>
        <v>89868.29999999999</v>
      </c>
    </row>
    <row r="199" spans="1:12" s="44" customFormat="1" ht="28.5" customHeight="1">
      <c r="A199" s="65" t="s">
        <v>1218</v>
      </c>
      <c r="B199" s="65" t="s">
        <v>1219</v>
      </c>
      <c r="C199" s="65" t="s">
        <v>777</v>
      </c>
      <c r="D199" s="66">
        <v>854</v>
      </c>
      <c r="E199" s="68" t="s">
        <v>855</v>
      </c>
      <c r="F199" s="68" t="s">
        <v>1220</v>
      </c>
      <c r="G199" s="49" t="s">
        <v>1221</v>
      </c>
      <c r="H199" s="67"/>
      <c r="I199" s="67">
        <f>42809.8</f>
        <v>42809.8</v>
      </c>
      <c r="J199" s="67">
        <f>42809.8</f>
        <v>42809.8</v>
      </c>
      <c r="K199" s="67">
        <f>42809.8</f>
        <v>42809.8</v>
      </c>
      <c r="L199" s="67">
        <f t="shared" si="3"/>
        <v>128429.40000000001</v>
      </c>
    </row>
    <row r="200" spans="1:12" s="44" customFormat="1" ht="28.5" customHeight="1">
      <c r="A200" s="65"/>
      <c r="B200" s="65"/>
      <c r="C200" s="65"/>
      <c r="D200" s="66">
        <v>854</v>
      </c>
      <c r="E200" s="68" t="s">
        <v>855</v>
      </c>
      <c r="F200" s="68" t="s">
        <v>1222</v>
      </c>
      <c r="G200" s="49">
        <v>244</v>
      </c>
      <c r="H200" s="67"/>
      <c r="I200" s="67">
        <v>9510.2</v>
      </c>
      <c r="J200" s="67">
        <v>9510.2</v>
      </c>
      <c r="K200" s="67">
        <v>9510.2</v>
      </c>
      <c r="L200" s="67"/>
    </row>
    <row r="201" spans="1:13" s="44" customFormat="1" ht="48" customHeight="1">
      <c r="A201" s="65" t="s">
        <v>1223</v>
      </c>
      <c r="B201" s="65" t="s">
        <v>1224</v>
      </c>
      <c r="C201" s="65" t="s">
        <v>777</v>
      </c>
      <c r="D201" s="68"/>
      <c r="E201" s="68"/>
      <c r="F201" s="49"/>
      <c r="G201" s="49"/>
      <c r="H201" s="67"/>
      <c r="I201" s="67"/>
      <c r="J201" s="67"/>
      <c r="K201" s="67"/>
      <c r="L201" s="67">
        <f aca="true" t="shared" si="4" ref="L201:L203">I201+J201+K201</f>
        <v>0</v>
      </c>
      <c r="M201" s="42"/>
    </row>
    <row r="202" spans="1:12" s="44" customFormat="1" ht="48" customHeight="1">
      <c r="A202" s="65" t="s">
        <v>1225</v>
      </c>
      <c r="B202" s="65" t="s">
        <v>1226</v>
      </c>
      <c r="C202" s="65" t="s">
        <v>777</v>
      </c>
      <c r="D202" s="68"/>
      <c r="E202" s="68"/>
      <c r="F202" s="49"/>
      <c r="G202" s="49"/>
      <c r="H202" s="67"/>
      <c r="I202" s="67"/>
      <c r="J202" s="67"/>
      <c r="K202" s="67"/>
      <c r="L202" s="67">
        <f t="shared" si="4"/>
        <v>0</v>
      </c>
    </row>
    <row r="203" spans="1:12" s="44" customFormat="1" ht="57.75" customHeight="1">
      <c r="A203" s="65" t="s">
        <v>1227</v>
      </c>
      <c r="B203" s="65" t="s">
        <v>1228</v>
      </c>
      <c r="C203" s="65" t="s">
        <v>777</v>
      </c>
      <c r="D203" s="68"/>
      <c r="E203" s="68"/>
      <c r="F203" s="49"/>
      <c r="G203" s="49"/>
      <c r="H203" s="67"/>
      <c r="I203" s="67"/>
      <c r="J203" s="67"/>
      <c r="K203" s="67"/>
      <c r="L203" s="67">
        <f t="shared" si="4"/>
        <v>0</v>
      </c>
    </row>
    <row r="204" spans="1:12" s="70" customFormat="1" ht="117" customHeight="1">
      <c r="A204" s="65" t="s">
        <v>1229</v>
      </c>
      <c r="B204" s="65" t="s">
        <v>1230</v>
      </c>
      <c r="C204" s="65" t="s">
        <v>777</v>
      </c>
      <c r="D204" s="68" t="s">
        <v>1094</v>
      </c>
      <c r="E204" s="68" t="s">
        <v>814</v>
      </c>
      <c r="F204" s="68" t="s">
        <v>1231</v>
      </c>
      <c r="G204" s="49">
        <v>612</v>
      </c>
      <c r="H204" s="67"/>
      <c r="I204" s="67">
        <v>19818.4</v>
      </c>
      <c r="J204" s="67">
        <v>19818.4</v>
      </c>
      <c r="K204" s="67">
        <v>19818.4</v>
      </c>
      <c r="L204" s="67"/>
    </row>
    <row r="205" spans="1:13" s="44" customFormat="1" ht="114" customHeight="1">
      <c r="A205" s="65" t="s">
        <v>1232</v>
      </c>
      <c r="B205" s="19" t="s">
        <v>1233</v>
      </c>
      <c r="C205" s="65" t="s">
        <v>777</v>
      </c>
      <c r="D205" s="68"/>
      <c r="E205" s="68"/>
      <c r="F205" s="49"/>
      <c r="G205" s="49"/>
      <c r="H205" s="67"/>
      <c r="I205" s="67"/>
      <c r="J205" s="67"/>
      <c r="K205" s="67"/>
      <c r="L205" s="67">
        <f aca="true" t="shared" si="5" ref="L205:L212">I205+J205+K205</f>
        <v>0</v>
      </c>
      <c r="M205" s="42"/>
    </row>
    <row r="206" spans="1:12" s="44" customFormat="1" ht="77.25" customHeight="1">
      <c r="A206" s="65" t="s">
        <v>1234</v>
      </c>
      <c r="B206" s="65" t="s">
        <v>1235</v>
      </c>
      <c r="C206" s="65" t="s">
        <v>777</v>
      </c>
      <c r="D206" s="68"/>
      <c r="E206" s="68"/>
      <c r="F206" s="49"/>
      <c r="G206" s="49"/>
      <c r="H206" s="67"/>
      <c r="I206" s="67"/>
      <c r="J206" s="67"/>
      <c r="K206" s="67"/>
      <c r="L206" s="67">
        <f t="shared" si="5"/>
        <v>0</v>
      </c>
    </row>
    <row r="207" spans="1:13" s="79" customFormat="1" ht="39" customHeight="1">
      <c r="A207" s="54" t="s">
        <v>1236</v>
      </c>
      <c r="B207" s="80" t="s">
        <v>1237</v>
      </c>
      <c r="C207" s="55" t="s">
        <v>770</v>
      </c>
      <c r="D207" s="54">
        <v>854</v>
      </c>
      <c r="E207" s="63" t="s">
        <v>776</v>
      </c>
      <c r="F207" s="63" t="s">
        <v>776</v>
      </c>
      <c r="G207" s="63" t="s">
        <v>776</v>
      </c>
      <c r="H207" s="60"/>
      <c r="I207" s="60">
        <f>SUM(I208:I216)</f>
        <v>6898235</v>
      </c>
      <c r="J207" s="60">
        <f>SUM(J208:J216)</f>
        <v>7711315.8</v>
      </c>
      <c r="K207" s="60">
        <f>SUM(K208:K216)</f>
        <v>7724041</v>
      </c>
      <c r="L207" s="60">
        <f t="shared" si="5"/>
        <v>22333591.8</v>
      </c>
      <c r="M207" s="70"/>
    </row>
    <row r="208" spans="1:13" s="70" customFormat="1" ht="79.5" customHeight="1">
      <c r="A208" s="65" t="s">
        <v>1238</v>
      </c>
      <c r="B208" s="76" t="s">
        <v>1239</v>
      </c>
      <c r="C208" s="65" t="s">
        <v>777</v>
      </c>
      <c r="D208" s="66">
        <v>854</v>
      </c>
      <c r="E208" s="68" t="s">
        <v>855</v>
      </c>
      <c r="F208" s="68" t="s">
        <v>1240</v>
      </c>
      <c r="G208" s="74" t="s">
        <v>1241</v>
      </c>
      <c r="H208" s="67"/>
      <c r="I208" s="67">
        <f>ROUND(74997214.21/1000,1)</f>
        <v>74997.2</v>
      </c>
      <c r="J208" s="67">
        <f>ROUND(74997063.58/1000,1)</f>
        <v>74997.1</v>
      </c>
      <c r="K208" s="67">
        <f>ROUND(75444185.78/1000,1)</f>
        <v>75444.2</v>
      </c>
      <c r="L208" s="67">
        <f t="shared" si="5"/>
        <v>225438.5</v>
      </c>
      <c r="M208" s="79"/>
    </row>
    <row r="209" spans="1:12" s="70" customFormat="1" ht="42" customHeight="1">
      <c r="A209" s="65" t="s">
        <v>1242</v>
      </c>
      <c r="B209" s="65" t="s">
        <v>1243</v>
      </c>
      <c r="C209" s="65" t="s">
        <v>777</v>
      </c>
      <c r="D209" s="66">
        <v>854</v>
      </c>
      <c r="E209" s="68" t="s">
        <v>855</v>
      </c>
      <c r="F209" s="68" t="s">
        <v>1244</v>
      </c>
      <c r="G209" s="74">
        <v>244</v>
      </c>
      <c r="H209" s="67"/>
      <c r="I209" s="67">
        <f>ROUND(235587451.44/1000,1)</f>
        <v>235587.5</v>
      </c>
      <c r="J209" s="67">
        <f>ROUND(242447521.57/1000,1)</f>
        <v>242447.5</v>
      </c>
      <c r="K209" s="67">
        <f>ROUND(249417557.95/1000,1)</f>
        <v>249417.6</v>
      </c>
      <c r="L209" s="67">
        <f t="shared" si="5"/>
        <v>727452.6</v>
      </c>
    </row>
    <row r="210" spans="1:12" s="70" customFormat="1" ht="42" customHeight="1">
      <c r="A210" s="65" t="s">
        <v>1245</v>
      </c>
      <c r="B210" s="65" t="s">
        <v>1246</v>
      </c>
      <c r="C210" s="65" t="s">
        <v>777</v>
      </c>
      <c r="D210" s="66">
        <v>854</v>
      </c>
      <c r="E210" s="68" t="s">
        <v>855</v>
      </c>
      <c r="F210" s="68" t="s">
        <v>1247</v>
      </c>
      <c r="G210" s="49" t="s">
        <v>1248</v>
      </c>
      <c r="H210" s="67"/>
      <c r="I210" s="67">
        <f>ROUND(3069400/1000,1)</f>
        <v>3069.4</v>
      </c>
      <c r="J210" s="67">
        <f>ROUND(3095100/1000,1)</f>
        <v>3095.1</v>
      </c>
      <c r="K210" s="67">
        <f>ROUND(3095100/1000,1)</f>
        <v>3095.1</v>
      </c>
      <c r="L210" s="67">
        <f t="shared" si="5"/>
        <v>9259.6</v>
      </c>
    </row>
    <row r="211" spans="1:12" s="70" customFormat="1" ht="57.75" customHeight="1">
      <c r="A211" s="65" t="s">
        <v>1249</v>
      </c>
      <c r="B211" s="65" t="s">
        <v>1250</v>
      </c>
      <c r="C211" s="65" t="s">
        <v>777</v>
      </c>
      <c r="D211" s="66">
        <v>854</v>
      </c>
      <c r="E211" s="68" t="s">
        <v>855</v>
      </c>
      <c r="F211" s="68" t="s">
        <v>1251</v>
      </c>
      <c r="G211" s="49" t="s">
        <v>992</v>
      </c>
      <c r="H211" s="67"/>
      <c r="I211" s="67">
        <f>ROUND(606429472/1000,1)</f>
        <v>606429.5</v>
      </c>
      <c r="J211" s="67">
        <f>ROUND(609464932/1000,1)</f>
        <v>609464.9</v>
      </c>
      <c r="K211" s="67">
        <f>ROUND(614655327/1000,1)</f>
        <v>614655.3</v>
      </c>
      <c r="L211" s="67">
        <f t="shared" si="5"/>
        <v>1830549.7</v>
      </c>
    </row>
    <row r="212" spans="1:12" s="70" customFormat="1" ht="40.5" customHeight="1">
      <c r="A212" s="65" t="s">
        <v>1252</v>
      </c>
      <c r="B212" s="65" t="s">
        <v>1253</v>
      </c>
      <c r="C212" s="65" t="s">
        <v>777</v>
      </c>
      <c r="D212" s="66">
        <v>854</v>
      </c>
      <c r="E212" s="68" t="s">
        <v>855</v>
      </c>
      <c r="F212" s="68" t="s">
        <v>1254</v>
      </c>
      <c r="G212" s="49" t="s">
        <v>929</v>
      </c>
      <c r="H212" s="67"/>
      <c r="I212" s="67">
        <f>ROUND(45673713/1000,1)</f>
        <v>45673.7</v>
      </c>
      <c r="J212" s="67">
        <f>ROUND(45789419/1000,1)</f>
        <v>45789.4</v>
      </c>
      <c r="K212" s="67">
        <v>45907</v>
      </c>
      <c r="L212" s="67">
        <f t="shared" si="5"/>
        <v>137370.1</v>
      </c>
    </row>
    <row r="213" spans="1:12" s="70" customFormat="1" ht="40.5" customHeight="1">
      <c r="A213" s="65" t="s">
        <v>1255</v>
      </c>
      <c r="B213" s="19" t="s">
        <v>1256</v>
      </c>
      <c r="C213" s="65" t="s">
        <v>777</v>
      </c>
      <c r="D213" s="66"/>
      <c r="E213" s="68"/>
      <c r="F213" s="68"/>
      <c r="G213" s="49"/>
      <c r="H213" s="67"/>
      <c r="I213" s="67"/>
      <c r="J213" s="67"/>
      <c r="K213" s="67"/>
      <c r="L213" s="67"/>
    </row>
    <row r="214" spans="1:12" s="70" customFormat="1" ht="40.5" customHeight="1">
      <c r="A214" s="65" t="s">
        <v>1257</v>
      </c>
      <c r="B214" s="19" t="s">
        <v>1258</v>
      </c>
      <c r="C214" s="65" t="s">
        <v>777</v>
      </c>
      <c r="D214" s="66">
        <v>854</v>
      </c>
      <c r="E214" s="68" t="s">
        <v>814</v>
      </c>
      <c r="F214" s="68" t="s">
        <v>1259</v>
      </c>
      <c r="G214" s="49">
        <v>612</v>
      </c>
      <c r="H214" s="67"/>
      <c r="I214" s="67">
        <v>4535.7</v>
      </c>
      <c r="J214" s="67"/>
      <c r="K214" s="67"/>
      <c r="L214" s="67"/>
    </row>
    <row r="215" spans="1:12" s="70" customFormat="1" ht="60.75" customHeight="1">
      <c r="A215" s="65" t="s">
        <v>1260</v>
      </c>
      <c r="B215" s="65" t="s">
        <v>1261</v>
      </c>
      <c r="C215" s="65" t="s">
        <v>777</v>
      </c>
      <c r="D215" s="66">
        <v>854</v>
      </c>
      <c r="E215" s="68" t="s">
        <v>855</v>
      </c>
      <c r="F215" s="68" t="s">
        <v>1262</v>
      </c>
      <c r="G215" s="49">
        <v>560</v>
      </c>
      <c r="H215" s="67"/>
      <c r="I215" s="67">
        <f>ROUND(5158992100/1000,1)</f>
        <v>5158992.1</v>
      </c>
      <c r="J215" s="67">
        <f>ROUND(6735521800/1000,1)</f>
        <v>6735521.8</v>
      </c>
      <c r="K215" s="67">
        <f>ROUND(6735521800/1000,1)</f>
        <v>6735521.8</v>
      </c>
      <c r="L215" s="67">
        <f aca="true" t="shared" si="6" ref="L215:L218">I215+J215+K215</f>
        <v>18630035.7</v>
      </c>
    </row>
    <row r="216" spans="1:12" s="70" customFormat="1" ht="77.25" customHeight="1">
      <c r="A216" s="65" t="s">
        <v>1263</v>
      </c>
      <c r="B216" s="65" t="s">
        <v>1264</v>
      </c>
      <c r="C216" s="65" t="s">
        <v>777</v>
      </c>
      <c r="D216" s="66">
        <v>854</v>
      </c>
      <c r="E216" s="68" t="s">
        <v>855</v>
      </c>
      <c r="F216" s="68" t="s">
        <v>1265</v>
      </c>
      <c r="G216" s="49">
        <v>580</v>
      </c>
      <c r="H216" s="67"/>
      <c r="I216" s="67">
        <f>ROUND(768949900/1000,1)</f>
        <v>768949.9</v>
      </c>
      <c r="J216" s="67">
        <v>0</v>
      </c>
      <c r="K216" s="67">
        <v>0</v>
      </c>
      <c r="L216" s="67">
        <f t="shared" si="6"/>
        <v>768949.9</v>
      </c>
    </row>
    <row r="217" spans="1:13" s="79" customFormat="1" ht="38.25" customHeight="1">
      <c r="A217" s="86" t="s">
        <v>1266</v>
      </c>
      <c r="B217" s="87" t="s">
        <v>1267</v>
      </c>
      <c r="C217" s="55" t="s">
        <v>770</v>
      </c>
      <c r="D217" s="54"/>
      <c r="E217" s="63" t="s">
        <v>776</v>
      </c>
      <c r="F217" s="63" t="s">
        <v>776</v>
      </c>
      <c r="G217" s="63" t="s">
        <v>776</v>
      </c>
      <c r="H217" s="60"/>
      <c r="I217" s="60">
        <f>SUM(I218:I222)</f>
        <v>0</v>
      </c>
      <c r="J217" s="60">
        <f>SUM(J218:J222)</f>
        <v>0</v>
      </c>
      <c r="K217" s="60">
        <f>SUM(K218:K222)</f>
        <v>0</v>
      </c>
      <c r="L217" s="60">
        <f t="shared" si="6"/>
        <v>0</v>
      </c>
      <c r="M217" s="70"/>
    </row>
    <row r="218" spans="1:13" s="44" customFormat="1" ht="43.5" customHeight="1">
      <c r="A218" s="65" t="s">
        <v>1268</v>
      </c>
      <c r="B218" s="19" t="s">
        <v>1269</v>
      </c>
      <c r="C218" s="65" t="s">
        <v>777</v>
      </c>
      <c r="D218" s="66"/>
      <c r="E218" s="53"/>
      <c r="F218" s="53"/>
      <c r="G218" s="52"/>
      <c r="H218" s="67"/>
      <c r="I218" s="67"/>
      <c r="J218" s="67"/>
      <c r="K218" s="67"/>
      <c r="L218" s="67">
        <f t="shared" si="6"/>
        <v>0</v>
      </c>
      <c r="M218" s="42"/>
    </row>
    <row r="219" spans="1:13" s="44" customFormat="1" ht="75" customHeight="1">
      <c r="A219" s="65" t="s">
        <v>1270</v>
      </c>
      <c r="B219" s="19" t="s">
        <v>1271</v>
      </c>
      <c r="C219" s="65" t="s">
        <v>777</v>
      </c>
      <c r="D219" s="66"/>
      <c r="E219" s="53"/>
      <c r="F219" s="53"/>
      <c r="G219" s="52"/>
      <c r="H219" s="67"/>
      <c r="I219" s="67"/>
      <c r="J219" s="67"/>
      <c r="K219" s="67"/>
      <c r="L219" s="67"/>
      <c r="M219" s="42"/>
    </row>
    <row r="220" spans="1:13" s="44" customFormat="1" ht="59.25" customHeight="1">
      <c r="A220" s="65" t="s">
        <v>1272</v>
      </c>
      <c r="B220" s="65" t="s">
        <v>1273</v>
      </c>
      <c r="C220" s="65" t="s">
        <v>777</v>
      </c>
      <c r="D220" s="66"/>
      <c r="E220" s="53"/>
      <c r="F220" s="53"/>
      <c r="G220" s="52"/>
      <c r="H220" s="67"/>
      <c r="I220" s="67"/>
      <c r="J220" s="67"/>
      <c r="K220" s="67"/>
      <c r="L220" s="67"/>
      <c r="M220" s="42"/>
    </row>
    <row r="221" spans="1:13" s="44" customFormat="1" ht="58.5" customHeight="1">
      <c r="A221" s="65" t="s">
        <v>1274</v>
      </c>
      <c r="B221" s="19" t="s">
        <v>1275</v>
      </c>
      <c r="C221" s="65" t="s">
        <v>777</v>
      </c>
      <c r="D221" s="66"/>
      <c r="E221" s="53"/>
      <c r="F221" s="53"/>
      <c r="G221" s="52"/>
      <c r="H221" s="67"/>
      <c r="I221" s="67"/>
      <c r="J221" s="67"/>
      <c r="K221" s="67"/>
      <c r="L221" s="67">
        <f>I221+J221+K221</f>
        <v>0</v>
      </c>
      <c r="M221" s="42"/>
    </row>
    <row r="222" spans="1:13" s="44" customFormat="1" ht="62.25" customHeight="1">
      <c r="A222" s="65" t="s">
        <v>1276</v>
      </c>
      <c r="B222" s="19" t="s">
        <v>1277</v>
      </c>
      <c r="C222" s="65" t="s">
        <v>777</v>
      </c>
      <c r="D222" s="66"/>
      <c r="E222" s="53"/>
      <c r="F222" s="53"/>
      <c r="G222" s="52"/>
      <c r="H222" s="67"/>
      <c r="I222" s="67"/>
      <c r="J222" s="67"/>
      <c r="K222" s="67"/>
      <c r="L222" s="67"/>
      <c r="M222" s="42"/>
    </row>
    <row r="223" spans="1:13" s="79" customFormat="1" ht="27.75" customHeight="1">
      <c r="A223" s="54" t="s">
        <v>1278</v>
      </c>
      <c r="B223" s="80" t="s">
        <v>1279</v>
      </c>
      <c r="C223" s="55" t="s">
        <v>770</v>
      </c>
      <c r="D223" s="54">
        <v>854</v>
      </c>
      <c r="E223" s="63" t="s">
        <v>776</v>
      </c>
      <c r="F223" s="63" t="s">
        <v>776</v>
      </c>
      <c r="G223" s="63" t="s">
        <v>776</v>
      </c>
      <c r="H223" s="60"/>
      <c r="I223" s="60">
        <f>SUM(I224:I232)</f>
        <v>0</v>
      </c>
      <c r="J223" s="60">
        <f>SUM(J224:J232)</f>
        <v>0</v>
      </c>
      <c r="K223" s="60">
        <f>SUM(K224:K232)</f>
        <v>0</v>
      </c>
      <c r="L223" s="60">
        <f aca="true" t="shared" si="7" ref="L223:L239">I223+J223+K223</f>
        <v>0</v>
      </c>
      <c r="M223" s="70"/>
    </row>
    <row r="224" spans="1:13" s="70" customFormat="1" ht="59.25" customHeight="1">
      <c r="A224" s="65" t="s">
        <v>1280</v>
      </c>
      <c r="B224" s="19" t="s">
        <v>1281</v>
      </c>
      <c r="C224" s="65" t="s">
        <v>1282</v>
      </c>
      <c r="D224" s="68"/>
      <c r="E224" s="68"/>
      <c r="F224" s="49"/>
      <c r="G224" s="49"/>
      <c r="H224" s="67"/>
      <c r="I224" s="67"/>
      <c r="J224" s="67"/>
      <c r="K224" s="67"/>
      <c r="L224" s="67">
        <f t="shared" si="7"/>
        <v>0</v>
      </c>
      <c r="M224" s="79"/>
    </row>
    <row r="225" spans="1:12" s="70" customFormat="1" ht="54.75" customHeight="1">
      <c r="A225" s="65" t="s">
        <v>1283</v>
      </c>
      <c r="B225" s="65" t="s">
        <v>1284</v>
      </c>
      <c r="C225" s="65" t="s">
        <v>1282</v>
      </c>
      <c r="D225" s="68"/>
      <c r="E225" s="68"/>
      <c r="F225" s="49"/>
      <c r="G225" s="49"/>
      <c r="H225" s="67"/>
      <c r="I225" s="67"/>
      <c r="J225" s="67"/>
      <c r="K225" s="67"/>
      <c r="L225" s="67">
        <f t="shared" si="7"/>
        <v>0</v>
      </c>
    </row>
    <row r="226" spans="1:12" s="70" customFormat="1" ht="48.75" customHeight="1">
      <c r="A226" s="65" t="s">
        <v>1285</v>
      </c>
      <c r="B226" s="65" t="s">
        <v>1286</v>
      </c>
      <c r="C226" s="65" t="s">
        <v>1282</v>
      </c>
      <c r="D226" s="66"/>
      <c r="E226" s="68"/>
      <c r="F226" s="68"/>
      <c r="G226" s="49"/>
      <c r="H226" s="67"/>
      <c r="I226" s="67"/>
      <c r="J226" s="67"/>
      <c r="K226" s="67"/>
      <c r="L226" s="67">
        <f t="shared" si="7"/>
        <v>0</v>
      </c>
    </row>
    <row r="227" spans="1:12" s="70" customFormat="1" ht="75" customHeight="1">
      <c r="A227" s="65" t="s">
        <v>1287</v>
      </c>
      <c r="B227" s="65" t="s">
        <v>1288</v>
      </c>
      <c r="C227" s="65" t="s">
        <v>1282</v>
      </c>
      <c r="D227" s="66"/>
      <c r="E227" s="68"/>
      <c r="F227" s="68"/>
      <c r="G227" s="49"/>
      <c r="H227" s="67"/>
      <c r="I227" s="67"/>
      <c r="J227" s="67"/>
      <c r="K227" s="67"/>
      <c r="L227" s="67">
        <f t="shared" si="7"/>
        <v>0</v>
      </c>
    </row>
    <row r="228" spans="1:12" s="70" customFormat="1" ht="39" customHeight="1">
      <c r="A228" s="65" t="s">
        <v>1289</v>
      </c>
      <c r="B228" s="65" t="s">
        <v>1290</v>
      </c>
      <c r="C228" s="65" t="s">
        <v>1282</v>
      </c>
      <c r="D228" s="66"/>
      <c r="E228" s="68"/>
      <c r="F228" s="68"/>
      <c r="G228" s="49"/>
      <c r="H228" s="67"/>
      <c r="I228" s="67"/>
      <c r="J228" s="67"/>
      <c r="K228" s="67"/>
      <c r="L228" s="67">
        <f t="shared" si="7"/>
        <v>0</v>
      </c>
    </row>
    <row r="229" spans="1:13" s="70" customFormat="1" ht="76.5" customHeight="1">
      <c r="A229" s="65" t="s">
        <v>1291</v>
      </c>
      <c r="B229" s="19" t="s">
        <v>1292</v>
      </c>
      <c r="C229" s="65" t="s">
        <v>777</v>
      </c>
      <c r="D229" s="68"/>
      <c r="E229" s="68"/>
      <c r="F229" s="49"/>
      <c r="G229" s="49"/>
      <c r="H229" s="67"/>
      <c r="I229" s="67"/>
      <c r="J229" s="67"/>
      <c r="K229" s="67"/>
      <c r="L229" s="67">
        <f t="shared" si="7"/>
        <v>0</v>
      </c>
      <c r="M229" s="79"/>
    </row>
    <row r="230" spans="1:12" s="70" customFormat="1" ht="41.25" customHeight="1">
      <c r="A230" s="65" t="s">
        <v>1293</v>
      </c>
      <c r="B230" s="65" t="s">
        <v>1294</v>
      </c>
      <c r="C230" s="65" t="s">
        <v>777</v>
      </c>
      <c r="D230" s="68"/>
      <c r="E230" s="68"/>
      <c r="F230" s="49"/>
      <c r="G230" s="49"/>
      <c r="H230" s="67"/>
      <c r="I230" s="67"/>
      <c r="J230" s="67"/>
      <c r="K230" s="67"/>
      <c r="L230" s="67">
        <f t="shared" si="7"/>
        <v>0</v>
      </c>
    </row>
    <row r="231" spans="1:13" s="70" customFormat="1" ht="39" customHeight="1">
      <c r="A231" s="65" t="s">
        <v>1295</v>
      </c>
      <c r="B231" s="65" t="s">
        <v>1296</v>
      </c>
      <c r="C231" s="65" t="s">
        <v>1282</v>
      </c>
      <c r="D231" s="68"/>
      <c r="E231" s="68"/>
      <c r="F231" s="49"/>
      <c r="G231" s="49"/>
      <c r="H231" s="67"/>
      <c r="I231" s="67"/>
      <c r="J231" s="67"/>
      <c r="K231" s="67"/>
      <c r="L231" s="67">
        <f t="shared" si="7"/>
        <v>0</v>
      </c>
      <c r="M231" s="79"/>
    </row>
    <row r="232" spans="1:12" s="70" customFormat="1" ht="57.75" customHeight="1">
      <c r="A232" s="65" t="s">
        <v>1297</v>
      </c>
      <c r="B232" s="65" t="s">
        <v>1298</v>
      </c>
      <c r="C232" s="65" t="s">
        <v>1282</v>
      </c>
      <c r="D232" s="68"/>
      <c r="E232" s="68"/>
      <c r="F232" s="49"/>
      <c r="G232" s="49"/>
      <c r="H232" s="67"/>
      <c r="I232" s="67"/>
      <c r="J232" s="67"/>
      <c r="K232" s="67"/>
      <c r="L232" s="67">
        <f t="shared" si="7"/>
        <v>0</v>
      </c>
    </row>
    <row r="233" spans="1:13" s="79" customFormat="1" ht="42" customHeight="1">
      <c r="A233" s="54" t="s">
        <v>1299</v>
      </c>
      <c r="B233" s="80" t="s">
        <v>1300</v>
      </c>
      <c r="C233" s="55" t="s">
        <v>770</v>
      </c>
      <c r="D233" s="54">
        <v>854</v>
      </c>
      <c r="E233" s="63" t="s">
        <v>776</v>
      </c>
      <c r="F233" s="63" t="s">
        <v>776</v>
      </c>
      <c r="G233" s="63" t="s">
        <v>776</v>
      </c>
      <c r="H233" s="60"/>
      <c r="I233" s="60">
        <f>SUM(I234:I239)</f>
        <v>0</v>
      </c>
      <c r="J233" s="60">
        <f>SUM(J234:J239)</f>
        <v>0</v>
      </c>
      <c r="K233" s="60">
        <f>SUM(K234:K239)</f>
        <v>0</v>
      </c>
      <c r="L233" s="60">
        <f t="shared" si="7"/>
        <v>0</v>
      </c>
      <c r="M233" s="70"/>
    </row>
    <row r="234" spans="1:13" s="44" customFormat="1" ht="77.25" customHeight="1">
      <c r="A234" s="65" t="s">
        <v>1301</v>
      </c>
      <c r="B234" s="19" t="s">
        <v>1302</v>
      </c>
      <c r="C234" s="65" t="s">
        <v>777</v>
      </c>
      <c r="D234" s="68"/>
      <c r="E234" s="68"/>
      <c r="F234" s="49"/>
      <c r="G234" s="49"/>
      <c r="H234" s="67"/>
      <c r="I234" s="67"/>
      <c r="J234" s="67"/>
      <c r="K234" s="67"/>
      <c r="L234" s="67">
        <f t="shared" si="7"/>
        <v>0</v>
      </c>
      <c r="M234" s="42"/>
    </row>
    <row r="235" spans="1:12" s="44" customFormat="1" ht="77.25" customHeight="1">
      <c r="A235" s="65" t="s">
        <v>1303</v>
      </c>
      <c r="B235" s="19" t="s">
        <v>1304</v>
      </c>
      <c r="C235" s="65" t="s">
        <v>777</v>
      </c>
      <c r="D235" s="68"/>
      <c r="E235" s="68"/>
      <c r="F235" s="49"/>
      <c r="G235" s="49"/>
      <c r="H235" s="67"/>
      <c r="I235" s="67"/>
      <c r="J235" s="67"/>
      <c r="K235" s="67"/>
      <c r="L235" s="67">
        <f t="shared" si="7"/>
        <v>0</v>
      </c>
    </row>
    <row r="236" spans="1:13" s="44" customFormat="1" ht="70.5" customHeight="1">
      <c r="A236" s="65" t="s">
        <v>1305</v>
      </c>
      <c r="B236" s="65" t="s">
        <v>1306</v>
      </c>
      <c r="C236" s="65" t="s">
        <v>777</v>
      </c>
      <c r="D236" s="68"/>
      <c r="E236" s="68"/>
      <c r="F236" s="49"/>
      <c r="G236" s="49"/>
      <c r="H236" s="67"/>
      <c r="I236" s="67"/>
      <c r="J236" s="67"/>
      <c r="K236" s="67"/>
      <c r="L236" s="67">
        <f t="shared" si="7"/>
        <v>0</v>
      </c>
      <c r="M236" s="42"/>
    </row>
    <row r="237" spans="1:12" s="44" customFormat="1" ht="75" customHeight="1">
      <c r="A237" s="65" t="s">
        <v>1307</v>
      </c>
      <c r="B237" s="65" t="s">
        <v>1308</v>
      </c>
      <c r="C237" s="65" t="s">
        <v>777</v>
      </c>
      <c r="D237" s="68"/>
      <c r="E237" s="68"/>
      <c r="F237" s="49"/>
      <c r="G237" s="49"/>
      <c r="H237" s="67"/>
      <c r="I237" s="67"/>
      <c r="J237" s="67"/>
      <c r="K237" s="67"/>
      <c r="L237" s="67">
        <f t="shared" si="7"/>
        <v>0</v>
      </c>
    </row>
    <row r="238" spans="1:12" s="44" customFormat="1" ht="76.5" customHeight="1">
      <c r="A238" s="65" t="s">
        <v>1309</v>
      </c>
      <c r="B238" s="65" t="s">
        <v>1310</v>
      </c>
      <c r="C238" s="65" t="s">
        <v>777</v>
      </c>
      <c r="D238" s="68"/>
      <c r="E238" s="68"/>
      <c r="F238" s="49"/>
      <c r="G238" s="49"/>
      <c r="H238" s="67"/>
      <c r="I238" s="67"/>
      <c r="J238" s="67"/>
      <c r="K238" s="67"/>
      <c r="L238" s="67">
        <f t="shared" si="7"/>
        <v>0</v>
      </c>
    </row>
    <row r="239" spans="1:12" s="44" customFormat="1" ht="58.5" customHeight="1">
      <c r="A239" s="65" t="s">
        <v>1311</v>
      </c>
      <c r="B239" s="19" t="s">
        <v>1312</v>
      </c>
      <c r="C239" s="65" t="s">
        <v>777</v>
      </c>
      <c r="D239" s="66"/>
      <c r="E239" s="53"/>
      <c r="F239" s="53"/>
      <c r="G239" s="52"/>
      <c r="H239" s="67"/>
      <c r="I239" s="67"/>
      <c r="J239" s="67"/>
      <c r="K239" s="67"/>
      <c r="L239" s="67">
        <f t="shared" si="7"/>
        <v>0</v>
      </c>
    </row>
    <row r="240" ht="84" customHeight="1">
      <c r="M240" s="44"/>
    </row>
    <row r="241" spans="9:11" ht="84" customHeight="1">
      <c r="I241" s="88">
        <f>I216+I215+I214+I212+I211+I210+I209+I208+I204+I200+I199+I198+I197+I196+I195+I184+I183+I179+I173+I164+I163+I158+I153+I152+I151+I146+I128+I127+I122+I121+I119+I115+I114+I104+I103+I101+I100+I99+I98+I88+I85+I82+I81+I80+I78+I76+I75+I73+I71+I70+I69+I67+I66+I63+I55+I53+I48+I47+I46+I44+I43+I40+I39+I26+I25+I24+I23+I18+I15+I14</f>
        <v>13184703.700000005</v>
      </c>
      <c r="J241" s="88">
        <f>J216+J215+J214+J212+J211+J210+J209+J208+J204+J200+J199+J198+J197+J196+J195+J184+J183+J179+J173+J164+J163+J158+J153+J152+J151+J146+J128+J127+J122+J121+J119+J115+J114+J104+J103+J101+J100+J99+J98+J88+J85+J82+J81+J80+J78+J76+J75+J73+J71+J70+J69+J67+J66+J63+J55+J53+J48+J47+J46+J44+J43+J40+J39+J26+J25+J24+J23+J18+J15+J14</f>
        <v>13959975.900000004</v>
      </c>
      <c r="K241" s="88">
        <f>K216+K215+K214+K212+K211+K210+K209+K208+K204+K200+K199+K198+K197+K196+K195+K184+K183+K179+K173+K164+K163+K158+K153+K152+K151+K146+K128+K127+K122+K121+K119+K115+K114+K104+K103+K101+K100+K99+K98+K88+K85+K82+K81+K80+K78+K76+K75+K73+K71+K70+K69+K67+K66+K63+K55+K53+K48+K47+K46+K44+K43+K40+K39+K26+K25+K24+K23+K18+K15+K14</f>
        <v>13342954.500000002</v>
      </c>
    </row>
    <row r="242" spans="9:11" ht="84" customHeight="1">
      <c r="I242" s="88">
        <f>I241-'ТАБЛИЦА 2'!F282</f>
        <v>0</v>
      </c>
      <c r="J242" s="88">
        <f>J241-'ТАБЛИЦА 2'!G282</f>
        <v>0</v>
      </c>
      <c r="K242" s="88">
        <f>K241-'ТАБЛИЦА 2'!H282</f>
        <v>0</v>
      </c>
    </row>
  </sheetData>
  <sheetProtection selectLockedCells="1" selectUnlockedCells="1"/>
  <autoFilter ref="A10:M239"/>
  <mergeCells count="26">
    <mergeCell ref="J1:K1"/>
    <mergeCell ref="A2:L2"/>
    <mergeCell ref="A3:A4"/>
    <mergeCell ref="B3:B4"/>
    <mergeCell ref="C3:C4"/>
    <mergeCell ref="D3:G3"/>
    <mergeCell ref="H3:L3"/>
    <mergeCell ref="A5:A7"/>
    <mergeCell ref="B5:B7"/>
    <mergeCell ref="A8:A10"/>
    <mergeCell ref="B8:B10"/>
    <mergeCell ref="A34:A36"/>
    <mergeCell ref="B34:B36"/>
    <mergeCell ref="A90:A92"/>
    <mergeCell ref="B90:B92"/>
    <mergeCell ref="A100:A101"/>
    <mergeCell ref="B100:B101"/>
    <mergeCell ref="C100:C101"/>
    <mergeCell ref="A103:A104"/>
    <mergeCell ref="B103:B104"/>
    <mergeCell ref="C103:C104"/>
    <mergeCell ref="A129:A131"/>
    <mergeCell ref="B129:B131"/>
    <mergeCell ref="A199:A200"/>
    <mergeCell ref="B199:B200"/>
    <mergeCell ref="C199:C200"/>
  </mergeCells>
  <printOptions/>
  <pageMargins left="0.7" right="0.7" top="0.75" bottom="0.75" header="0.5118055555555555" footer="0.5118055555555555"/>
  <pageSetup horizontalDpi="300" verticalDpi="300" orientation="landscape" paperSize="9" scale="36"/>
</worksheet>
</file>

<file path=xl/worksheets/sheet3.xml><?xml version="1.0" encoding="utf-8"?>
<worksheet xmlns="http://schemas.openxmlformats.org/spreadsheetml/2006/main" xmlns:r="http://schemas.openxmlformats.org/officeDocument/2006/relationships">
  <dimension ref="A1:IV556"/>
  <sheetViews>
    <sheetView tabSelected="1" view="pageBreakPreview" zoomScale="90" zoomScaleNormal="80" zoomScaleSheetLayoutView="90" workbookViewId="0" topLeftCell="A535">
      <selection activeCell="B534" sqref="B534"/>
    </sheetView>
  </sheetViews>
  <sheetFormatPr defaultColWidth="9.140625" defaultRowHeight="15"/>
  <cols>
    <col min="1" max="1" width="21.00390625" style="89" customWidth="1"/>
    <col min="2" max="2" width="78.8515625" style="89" customWidth="1"/>
    <col min="3" max="3" width="46.00390625" style="89" customWidth="1"/>
    <col min="4" max="4" width="22.00390625" style="90" customWidth="1"/>
    <col min="5" max="6" width="21.00390625" style="91" customWidth="1"/>
    <col min="7" max="7" width="34.00390625" style="91" customWidth="1"/>
    <col min="8" max="8" width="28.7109375" style="89" customWidth="1"/>
    <col min="9" max="9" width="9.140625" style="89" customWidth="1"/>
    <col min="10" max="10" width="15.28125" style="89" customWidth="1"/>
    <col min="11" max="16384" width="9.140625" style="89" customWidth="1"/>
  </cols>
  <sheetData>
    <row r="1" spans="4:256" s="92" customFormat="1" ht="18.75" customHeight="1">
      <c r="D1" s="93"/>
      <c r="E1" s="93"/>
      <c r="F1" s="93"/>
      <c r="G1" s="94"/>
      <c r="IH1" s="89"/>
      <c r="II1" s="89"/>
      <c r="IJ1" s="89"/>
      <c r="IK1" s="89"/>
      <c r="IL1" s="89"/>
      <c r="IM1" s="89"/>
      <c r="IN1" s="89"/>
      <c r="IO1" s="89"/>
      <c r="IP1" s="89"/>
      <c r="IQ1" s="89"/>
      <c r="IR1" s="89"/>
      <c r="IS1" s="89"/>
      <c r="IT1" s="89"/>
      <c r="IU1" s="89"/>
      <c r="IV1" s="89"/>
    </row>
    <row r="2" spans="4:6" ht="18.75" customHeight="1">
      <c r="D2" s="95"/>
      <c r="E2" s="95"/>
      <c r="F2" s="95"/>
    </row>
    <row r="3" spans="1:6" ht="18.75">
      <c r="A3" s="96" t="s">
        <v>751</v>
      </c>
      <c r="F3" s="97" t="s">
        <v>1313</v>
      </c>
    </row>
    <row r="4" spans="1:6" ht="76.5" customHeight="1">
      <c r="A4" s="98" t="s">
        <v>1314</v>
      </c>
      <c r="B4" s="98"/>
      <c r="C4" s="98"/>
      <c r="D4" s="98"/>
      <c r="E4" s="98"/>
      <c r="F4" s="98"/>
    </row>
    <row r="5" ht="18.75">
      <c r="A5" s="99"/>
    </row>
    <row r="6" spans="1:7" ht="41.25" customHeight="1">
      <c r="A6" s="100" t="s">
        <v>754</v>
      </c>
      <c r="B6" s="100" t="s">
        <v>1315</v>
      </c>
      <c r="C6" s="100" t="s">
        <v>1316</v>
      </c>
      <c r="D6" s="101" t="s">
        <v>1317</v>
      </c>
      <c r="E6" s="101"/>
      <c r="F6" s="101"/>
      <c r="G6" s="101"/>
    </row>
    <row r="7" spans="1:7" ht="59.25" customHeight="1">
      <c r="A7" s="100"/>
      <c r="B7" s="100"/>
      <c r="C7" s="100"/>
      <c r="D7" s="102" t="s">
        <v>1318</v>
      </c>
      <c r="E7" s="103" t="s">
        <v>1319</v>
      </c>
      <c r="F7" s="103" t="s">
        <v>1320</v>
      </c>
      <c r="G7" s="103" t="s">
        <v>766</v>
      </c>
    </row>
    <row r="8" spans="1:7" ht="27" customHeight="1">
      <c r="A8" s="100">
        <v>1</v>
      </c>
      <c r="B8" s="100">
        <v>2</v>
      </c>
      <c r="C8" s="100">
        <v>3</v>
      </c>
      <c r="D8" s="104">
        <v>4</v>
      </c>
      <c r="E8" s="100">
        <v>5</v>
      </c>
      <c r="F8" s="100">
        <v>6</v>
      </c>
      <c r="G8" s="105">
        <v>7</v>
      </c>
    </row>
    <row r="9" spans="1:8" s="111" customFormat="1" ht="40.5" customHeight="1">
      <c r="A9" s="106" t="s">
        <v>1321</v>
      </c>
      <c r="B9" s="107" t="s">
        <v>769</v>
      </c>
      <c r="C9" s="108" t="s">
        <v>1322</v>
      </c>
      <c r="D9" s="109"/>
      <c r="E9" s="109">
        <f>E10+E13</f>
        <v>19999966.900000002</v>
      </c>
      <c r="F9" s="109">
        <f>F10+F13</f>
        <v>21410506.400000002</v>
      </c>
      <c r="G9" s="109">
        <f>G10+G13</f>
        <v>21667271.8</v>
      </c>
      <c r="H9" s="110">
        <f aca="true" t="shared" si="0" ref="H9:H547">E9+F9+G9</f>
        <v>63077745.10000001</v>
      </c>
    </row>
    <row r="10" spans="1:8" s="111" customFormat="1" ht="40.5" customHeight="1">
      <c r="A10" s="106"/>
      <c r="B10" s="107"/>
      <c r="C10" s="108" t="s">
        <v>1323</v>
      </c>
      <c r="D10" s="112"/>
      <c r="E10" s="112">
        <f>E17+E73+E248+E332+E367+E395+E430+E479-0.1</f>
        <v>7256761.400000001</v>
      </c>
      <c r="F10" s="112">
        <f>F17+F73+F248+F332+F367+F395+F430+F479</f>
        <v>7224454.000000001</v>
      </c>
      <c r="G10" s="112">
        <f>G17+G73+G248+G332+G367+G395+G430+G479</f>
        <v>6607432.8</v>
      </c>
      <c r="H10" s="110">
        <f t="shared" si="0"/>
        <v>21088648.200000003</v>
      </c>
    </row>
    <row r="11" spans="1:8" s="111" customFormat="1" ht="40.5" customHeight="1">
      <c r="A11" s="106"/>
      <c r="B11" s="107"/>
      <c r="C11" s="108" t="s">
        <v>1324</v>
      </c>
      <c r="D11" s="112"/>
      <c r="E11" s="112">
        <f aca="true" t="shared" si="1" ref="E11:E12">E18+E74+E249+E333+E368+E396+E431+E480+E529+E536+E543</f>
        <v>438980.49999999994</v>
      </c>
      <c r="F11" s="112">
        <f aca="true" t="shared" si="2" ref="F11:F12">F18+F74+F249+F333+F368+F396+F431+F480+F529+F536+F543</f>
        <v>181078.80000000002</v>
      </c>
      <c r="G11" s="112">
        <f aca="true" t="shared" si="3" ref="G11:G12">G18+G74+G249+G333+G368+G396+G431+G480+G529+G536+G543</f>
        <v>181078.80000000002</v>
      </c>
      <c r="H11" s="110">
        <f t="shared" si="0"/>
        <v>801138.1</v>
      </c>
    </row>
    <row r="12" spans="1:8" s="111" customFormat="1" ht="40.5" customHeight="1">
      <c r="A12" s="106"/>
      <c r="B12" s="107"/>
      <c r="C12" s="108" t="s">
        <v>1325</v>
      </c>
      <c r="D12" s="112"/>
      <c r="E12" s="112">
        <f t="shared" si="1"/>
        <v>0</v>
      </c>
      <c r="F12" s="112">
        <f t="shared" si="2"/>
        <v>0</v>
      </c>
      <c r="G12" s="112">
        <f t="shared" si="3"/>
        <v>0</v>
      </c>
      <c r="H12" s="110">
        <f t="shared" si="0"/>
        <v>0</v>
      </c>
    </row>
    <row r="13" spans="1:8" s="111" customFormat="1" ht="40.5" customHeight="1">
      <c r="A13" s="106"/>
      <c r="B13" s="107"/>
      <c r="C13" s="113" t="s">
        <v>1326</v>
      </c>
      <c r="D13" s="112"/>
      <c r="E13" s="112">
        <v>12743205.5</v>
      </c>
      <c r="F13" s="112">
        <v>14186052.4</v>
      </c>
      <c r="G13" s="112">
        <v>15059839</v>
      </c>
      <c r="H13" s="110">
        <f t="shared" si="0"/>
        <v>41989096.9</v>
      </c>
    </row>
    <row r="14" spans="1:8" s="111" customFormat="1" ht="40.5" customHeight="1">
      <c r="A14" s="106"/>
      <c r="B14" s="107"/>
      <c r="C14" s="108" t="s">
        <v>1327</v>
      </c>
      <c r="D14" s="112"/>
      <c r="E14" s="112">
        <f>E21+E77+E252+E336+E371+E399+E434+E483+E532+E539+E546</f>
        <v>0</v>
      </c>
      <c r="F14" s="112">
        <f>F21+F77+F252+F336+F371+F399+F434+F483+F532+F539+F546</f>
        <v>0</v>
      </c>
      <c r="G14" s="112">
        <f>G21+G77+G252+G336+G371+G399+G434+G483+G532+G539+G546</f>
        <v>0</v>
      </c>
      <c r="H14" s="110">
        <f t="shared" si="0"/>
        <v>0</v>
      </c>
    </row>
    <row r="15" spans="1:8" s="111" customFormat="1" ht="40.5" customHeight="1">
      <c r="A15" s="106"/>
      <c r="B15" s="107"/>
      <c r="C15" s="108" t="s">
        <v>1328</v>
      </c>
      <c r="D15" s="112"/>
      <c r="E15" s="112">
        <f>E22+E78+E253+E372+E400+E435+E484+E533+E540+E547</f>
        <v>0</v>
      </c>
      <c r="F15" s="112">
        <f>F22+F78+F253+F372+F400+F435+F484+F533+F540+F547</f>
        <v>0</v>
      </c>
      <c r="G15" s="112">
        <f>G22+G78+G253+G372+G400+G435+G484+G533+G540+G547</f>
        <v>0</v>
      </c>
      <c r="H15" s="110">
        <f t="shared" si="0"/>
        <v>0</v>
      </c>
    </row>
    <row r="16" spans="1:256" s="116" customFormat="1" ht="40.5" customHeight="1">
      <c r="A16" s="106" t="s">
        <v>774</v>
      </c>
      <c r="B16" s="114" t="s">
        <v>1329</v>
      </c>
      <c r="C16" s="115" t="s">
        <v>1322</v>
      </c>
      <c r="D16" s="109"/>
      <c r="E16" s="109">
        <f>SUM(E17:E22)</f>
        <v>6733199.3</v>
      </c>
      <c r="F16" s="109">
        <f>SUM(F17:F22)</f>
        <v>7436233.9</v>
      </c>
      <c r="G16" s="109">
        <f>SUM(G17:G22)</f>
        <v>7834802.9</v>
      </c>
      <c r="H16" s="110">
        <f t="shared" si="0"/>
        <v>22004236.1</v>
      </c>
      <c r="IH16" s="117"/>
      <c r="II16" s="117"/>
      <c r="IJ16" s="117"/>
      <c r="IK16" s="117"/>
      <c r="IL16" s="117"/>
      <c r="IM16" s="117"/>
      <c r="IN16" s="117"/>
      <c r="IO16" s="117"/>
      <c r="IP16" s="117"/>
      <c r="IQ16" s="117"/>
      <c r="IR16" s="117"/>
      <c r="IS16" s="117"/>
      <c r="IT16" s="117"/>
      <c r="IU16" s="117"/>
      <c r="IV16" s="117"/>
    </row>
    <row r="17" spans="1:8" s="117" customFormat="1" ht="40.5" customHeight="1">
      <c r="A17" s="106"/>
      <c r="B17" s="114"/>
      <c r="C17" s="108" t="s">
        <v>1323</v>
      </c>
      <c r="D17" s="112"/>
      <c r="E17" s="112">
        <f>'ТАБЛИЦА 6'!I8</f>
        <v>1041629.1</v>
      </c>
      <c r="F17" s="112">
        <f>'ТАБЛИЦА 6'!J8</f>
        <v>1097956.2</v>
      </c>
      <c r="G17" s="112">
        <f>'ТАБЛИЦА 6'!K8</f>
        <v>1103881.2</v>
      </c>
      <c r="H17" s="110">
        <f t="shared" si="0"/>
        <v>3243466.5</v>
      </c>
    </row>
    <row r="18" spans="1:8" s="117" customFormat="1" ht="40.5" customHeight="1">
      <c r="A18" s="106"/>
      <c r="B18" s="114"/>
      <c r="C18" s="108" t="s">
        <v>1324</v>
      </c>
      <c r="D18" s="118"/>
      <c r="E18" s="118">
        <v>0</v>
      </c>
      <c r="F18" s="118">
        <v>0</v>
      </c>
      <c r="G18" s="118">
        <v>0</v>
      </c>
      <c r="H18" s="110">
        <f t="shared" si="0"/>
        <v>0</v>
      </c>
    </row>
    <row r="19" spans="1:8" s="117" customFormat="1" ht="40.5" customHeight="1">
      <c r="A19" s="106"/>
      <c r="B19" s="114"/>
      <c r="C19" s="108" t="s">
        <v>1325</v>
      </c>
      <c r="D19" s="112"/>
      <c r="E19" s="112">
        <v>0</v>
      </c>
      <c r="F19" s="112">
        <v>0</v>
      </c>
      <c r="G19" s="112">
        <v>0</v>
      </c>
      <c r="H19" s="110">
        <f t="shared" si="0"/>
        <v>0</v>
      </c>
    </row>
    <row r="20" spans="1:8" s="117" customFormat="1" ht="40.5" customHeight="1">
      <c r="A20" s="106"/>
      <c r="B20" s="114"/>
      <c r="C20" s="113" t="s">
        <v>1326</v>
      </c>
      <c r="D20" s="118"/>
      <c r="E20" s="118">
        <v>5691570.2</v>
      </c>
      <c r="F20" s="118">
        <v>6338277.7</v>
      </c>
      <c r="G20" s="118">
        <v>6730921.7</v>
      </c>
      <c r="H20" s="110">
        <f t="shared" si="0"/>
        <v>18760769.6</v>
      </c>
    </row>
    <row r="21" spans="1:8" s="117" customFormat="1" ht="40.5" customHeight="1">
      <c r="A21" s="106"/>
      <c r="B21" s="114"/>
      <c r="C21" s="108" t="s">
        <v>1327</v>
      </c>
      <c r="D21" s="112"/>
      <c r="E21" s="112">
        <v>0</v>
      </c>
      <c r="F21" s="112">
        <v>0</v>
      </c>
      <c r="G21" s="112">
        <v>0</v>
      </c>
      <c r="H21" s="110">
        <f t="shared" si="0"/>
        <v>0</v>
      </c>
    </row>
    <row r="22" spans="1:8" s="117" customFormat="1" ht="40.5" customHeight="1">
      <c r="A22" s="106"/>
      <c r="B22" s="114"/>
      <c r="C22" s="108" t="s">
        <v>1328</v>
      </c>
      <c r="D22" s="112"/>
      <c r="E22" s="112">
        <v>0</v>
      </c>
      <c r="F22" s="112">
        <v>0</v>
      </c>
      <c r="G22" s="112">
        <v>0</v>
      </c>
      <c r="H22" s="110">
        <f t="shared" si="0"/>
        <v>0</v>
      </c>
    </row>
    <row r="23" spans="1:8" ht="40.5" customHeight="1">
      <c r="A23" s="101" t="s">
        <v>784</v>
      </c>
      <c r="B23" s="119" t="s">
        <v>1330</v>
      </c>
      <c r="C23" s="120" t="s">
        <v>1322</v>
      </c>
      <c r="D23" s="109"/>
      <c r="E23" s="121">
        <f>SUM(E24:E29)</f>
        <v>64.3</v>
      </c>
      <c r="F23" s="121">
        <f>SUM(F24:F29)</f>
        <v>64.3</v>
      </c>
      <c r="G23" s="121">
        <f>SUM(G24:G29)</f>
        <v>64.3</v>
      </c>
      <c r="H23" s="110">
        <f t="shared" si="0"/>
        <v>192.89999999999998</v>
      </c>
    </row>
    <row r="24" spans="1:10" ht="40.5" customHeight="1">
      <c r="A24" s="101"/>
      <c r="B24" s="119"/>
      <c r="C24" s="122" t="s">
        <v>1323</v>
      </c>
      <c r="D24" s="112"/>
      <c r="E24" s="123">
        <f>ROUND(64310/1000,1)</f>
        <v>64.3</v>
      </c>
      <c r="F24" s="123">
        <f>ROUND(64310/1000,1)</f>
        <v>64.3</v>
      </c>
      <c r="G24" s="123">
        <f>ROUND(64310/1000,1)</f>
        <v>64.3</v>
      </c>
      <c r="H24" s="110">
        <f t="shared" si="0"/>
        <v>192.89999999999998</v>
      </c>
      <c r="J24" s="124"/>
    </row>
    <row r="25" spans="1:8" ht="90" customHeight="1">
      <c r="A25" s="101"/>
      <c r="B25" s="119"/>
      <c r="C25" s="122" t="s">
        <v>1324</v>
      </c>
      <c r="D25" s="118"/>
      <c r="E25" s="118">
        <v>0</v>
      </c>
      <c r="F25" s="118">
        <v>0</v>
      </c>
      <c r="G25" s="118">
        <v>0</v>
      </c>
      <c r="H25" s="110">
        <f t="shared" si="0"/>
        <v>0</v>
      </c>
    </row>
    <row r="26" spans="1:8" ht="40.5" customHeight="1">
      <c r="A26" s="101"/>
      <c r="B26" s="119"/>
      <c r="C26" s="122" t="s">
        <v>1325</v>
      </c>
      <c r="D26" s="112"/>
      <c r="E26" s="123">
        <v>0</v>
      </c>
      <c r="F26" s="123">
        <v>0</v>
      </c>
      <c r="G26" s="123">
        <v>0</v>
      </c>
      <c r="H26" s="110">
        <f t="shared" si="0"/>
        <v>0</v>
      </c>
    </row>
    <row r="27" spans="1:8" ht="40.5" customHeight="1">
      <c r="A27" s="101"/>
      <c r="B27" s="119"/>
      <c r="C27" s="125" t="s">
        <v>1326</v>
      </c>
      <c r="D27" s="118"/>
      <c r="E27" s="123">
        <v>0</v>
      </c>
      <c r="F27" s="123">
        <v>0</v>
      </c>
      <c r="G27" s="123">
        <v>0</v>
      </c>
      <c r="H27" s="110">
        <f t="shared" si="0"/>
        <v>0</v>
      </c>
    </row>
    <row r="28" spans="1:8" ht="40.5" customHeight="1">
      <c r="A28" s="101"/>
      <c r="B28" s="119"/>
      <c r="C28" s="122" t="s">
        <v>1327</v>
      </c>
      <c r="D28" s="112"/>
      <c r="E28" s="123">
        <v>0</v>
      </c>
      <c r="F28" s="123">
        <v>0</v>
      </c>
      <c r="G28" s="123">
        <v>0</v>
      </c>
      <c r="H28" s="110">
        <f t="shared" si="0"/>
        <v>0</v>
      </c>
    </row>
    <row r="29" spans="1:8" ht="40.5" customHeight="1">
      <c r="A29" s="101"/>
      <c r="B29" s="119"/>
      <c r="C29" s="122" t="s">
        <v>1328</v>
      </c>
      <c r="D29" s="112"/>
      <c r="E29" s="123">
        <v>0</v>
      </c>
      <c r="F29" s="123">
        <v>0</v>
      </c>
      <c r="G29" s="123">
        <v>0</v>
      </c>
      <c r="H29" s="110">
        <f t="shared" si="0"/>
        <v>0</v>
      </c>
    </row>
    <row r="30" spans="1:8" ht="40.5" customHeight="1">
      <c r="A30" s="101" t="s">
        <v>788</v>
      </c>
      <c r="B30" s="126" t="s">
        <v>1331</v>
      </c>
      <c r="C30" s="120" t="s">
        <v>1322</v>
      </c>
      <c r="D30" s="109"/>
      <c r="E30" s="121">
        <f>SUM(E31:E36)</f>
        <v>156000</v>
      </c>
      <c r="F30" s="121">
        <f>SUM(F31:F36)</f>
        <v>156000</v>
      </c>
      <c r="G30" s="121">
        <f>SUM(G31:G36)</f>
        <v>156000</v>
      </c>
      <c r="H30" s="110">
        <f t="shared" si="0"/>
        <v>468000</v>
      </c>
    </row>
    <row r="31" spans="1:8" ht="40.5" customHeight="1">
      <c r="A31" s="101"/>
      <c r="B31" s="126"/>
      <c r="C31" s="122" t="s">
        <v>1323</v>
      </c>
      <c r="D31" s="112"/>
      <c r="E31" s="123">
        <f>ROUND(156000000/1000,1)</f>
        <v>156000</v>
      </c>
      <c r="F31" s="123">
        <f>ROUND(156000000/1000,1)</f>
        <v>156000</v>
      </c>
      <c r="G31" s="123">
        <f>ROUND(156000000/1000,1)</f>
        <v>156000</v>
      </c>
      <c r="H31" s="110">
        <f t="shared" si="0"/>
        <v>468000</v>
      </c>
    </row>
    <row r="32" spans="1:8" ht="40.5" customHeight="1">
      <c r="A32" s="101"/>
      <c r="B32" s="126"/>
      <c r="C32" s="122" t="s">
        <v>1324</v>
      </c>
      <c r="D32" s="118"/>
      <c r="E32" s="118">
        <v>0</v>
      </c>
      <c r="F32" s="118">
        <v>0</v>
      </c>
      <c r="G32" s="118">
        <v>0</v>
      </c>
      <c r="H32" s="110">
        <f t="shared" si="0"/>
        <v>0</v>
      </c>
    </row>
    <row r="33" spans="1:8" ht="40.5" customHeight="1">
      <c r="A33" s="101"/>
      <c r="B33" s="126"/>
      <c r="C33" s="122" t="s">
        <v>1325</v>
      </c>
      <c r="D33" s="112"/>
      <c r="E33" s="123">
        <v>0</v>
      </c>
      <c r="F33" s="123">
        <v>0</v>
      </c>
      <c r="G33" s="123">
        <v>0</v>
      </c>
      <c r="H33" s="110">
        <f t="shared" si="0"/>
        <v>0</v>
      </c>
    </row>
    <row r="34" spans="1:8" ht="40.5" customHeight="1">
      <c r="A34" s="101"/>
      <c r="B34" s="126"/>
      <c r="C34" s="125" t="s">
        <v>1326</v>
      </c>
      <c r="D34" s="118"/>
      <c r="E34" s="123">
        <v>0</v>
      </c>
      <c r="F34" s="123">
        <v>0</v>
      </c>
      <c r="G34" s="123">
        <v>0</v>
      </c>
      <c r="H34" s="110">
        <f t="shared" si="0"/>
        <v>0</v>
      </c>
    </row>
    <row r="35" spans="1:8" ht="40.5" customHeight="1">
      <c r="A35" s="101"/>
      <c r="B35" s="126"/>
      <c r="C35" s="122" t="s">
        <v>1327</v>
      </c>
      <c r="D35" s="112"/>
      <c r="E35" s="123">
        <v>0</v>
      </c>
      <c r="F35" s="123">
        <v>0</v>
      </c>
      <c r="G35" s="123">
        <v>0</v>
      </c>
      <c r="H35" s="110">
        <f t="shared" si="0"/>
        <v>0</v>
      </c>
    </row>
    <row r="36" spans="1:8" ht="40.5" customHeight="1">
      <c r="A36" s="101"/>
      <c r="B36" s="126"/>
      <c r="C36" s="122" t="s">
        <v>1328</v>
      </c>
      <c r="D36" s="112"/>
      <c r="E36" s="123">
        <v>0</v>
      </c>
      <c r="F36" s="123">
        <v>0</v>
      </c>
      <c r="G36" s="123">
        <v>0</v>
      </c>
      <c r="H36" s="110">
        <f t="shared" si="0"/>
        <v>0</v>
      </c>
    </row>
    <row r="37" spans="1:8" ht="40.5" customHeight="1">
      <c r="A37" s="101" t="s">
        <v>795</v>
      </c>
      <c r="B37" s="119" t="s">
        <v>796</v>
      </c>
      <c r="C37" s="120" t="s">
        <v>1322</v>
      </c>
      <c r="D37" s="109"/>
      <c r="E37" s="121">
        <f>SUM(E38:E43)</f>
        <v>649567.6</v>
      </c>
      <c r="F37" s="121">
        <f>SUM(F38:F43)</f>
        <v>655395.7</v>
      </c>
      <c r="G37" s="121">
        <f>SUM(G38:G43)</f>
        <v>661320.7</v>
      </c>
      <c r="H37" s="110">
        <f t="shared" si="0"/>
        <v>1966283.9999999998</v>
      </c>
    </row>
    <row r="38" spans="1:8" ht="40.5" customHeight="1">
      <c r="A38" s="101"/>
      <c r="B38" s="119"/>
      <c r="C38" s="122" t="s">
        <v>1323</v>
      </c>
      <c r="D38" s="112"/>
      <c r="E38" s="123">
        <f>ROUND(649567578/1000,1)</f>
        <v>649567.6</v>
      </c>
      <c r="F38" s="123">
        <f>ROUND(655395655/1000,1)</f>
        <v>655395.7</v>
      </c>
      <c r="G38" s="123">
        <f>ROUND(661320687/1000,1)</f>
        <v>661320.7</v>
      </c>
      <c r="H38" s="110">
        <f t="shared" si="0"/>
        <v>1966283.9999999998</v>
      </c>
    </row>
    <row r="39" spans="1:8" ht="40.5" customHeight="1">
      <c r="A39" s="101"/>
      <c r="B39" s="119"/>
      <c r="C39" s="122" t="s">
        <v>1324</v>
      </c>
      <c r="D39" s="118"/>
      <c r="E39" s="118">
        <v>0</v>
      </c>
      <c r="F39" s="118">
        <v>0</v>
      </c>
      <c r="G39" s="118">
        <v>0</v>
      </c>
      <c r="H39" s="110">
        <f t="shared" si="0"/>
        <v>0</v>
      </c>
    </row>
    <row r="40" spans="1:8" ht="40.5" customHeight="1">
      <c r="A40" s="101"/>
      <c r="B40" s="119"/>
      <c r="C40" s="122" t="s">
        <v>1325</v>
      </c>
      <c r="D40" s="112"/>
      <c r="E40" s="123">
        <v>0</v>
      </c>
      <c r="F40" s="123">
        <v>0</v>
      </c>
      <c r="G40" s="123">
        <v>0</v>
      </c>
      <c r="H40" s="110">
        <f t="shared" si="0"/>
        <v>0</v>
      </c>
    </row>
    <row r="41" spans="1:8" ht="40.5" customHeight="1">
      <c r="A41" s="101"/>
      <c r="B41" s="119"/>
      <c r="C41" s="125" t="s">
        <v>1326</v>
      </c>
      <c r="D41" s="118"/>
      <c r="E41" s="123">
        <v>0</v>
      </c>
      <c r="F41" s="123">
        <v>0</v>
      </c>
      <c r="G41" s="123">
        <v>0</v>
      </c>
      <c r="H41" s="110">
        <f t="shared" si="0"/>
        <v>0</v>
      </c>
    </row>
    <row r="42" spans="1:8" ht="40.5" customHeight="1">
      <c r="A42" s="101"/>
      <c r="B42" s="119"/>
      <c r="C42" s="122" t="s">
        <v>1327</v>
      </c>
      <c r="D42" s="112"/>
      <c r="E42" s="123">
        <v>0</v>
      </c>
      <c r="F42" s="123">
        <v>0</v>
      </c>
      <c r="G42" s="123">
        <v>0</v>
      </c>
      <c r="H42" s="110">
        <f t="shared" si="0"/>
        <v>0</v>
      </c>
    </row>
    <row r="43" spans="1:8" ht="40.5" customHeight="1">
      <c r="A43" s="101"/>
      <c r="B43" s="119"/>
      <c r="C43" s="122" t="s">
        <v>1328</v>
      </c>
      <c r="D43" s="112"/>
      <c r="E43" s="123">
        <v>0</v>
      </c>
      <c r="F43" s="123">
        <v>0</v>
      </c>
      <c r="G43" s="123">
        <v>0</v>
      </c>
      <c r="H43" s="110">
        <f t="shared" si="0"/>
        <v>0</v>
      </c>
    </row>
    <row r="44" spans="1:8" ht="40.5" customHeight="1">
      <c r="A44" s="101" t="s">
        <v>808</v>
      </c>
      <c r="B44" s="126" t="s">
        <v>1332</v>
      </c>
      <c r="C44" s="120" t="s">
        <v>1322</v>
      </c>
      <c r="D44" s="109"/>
      <c r="E44" s="121">
        <f>SUM(E45:E50)</f>
        <v>148208.3</v>
      </c>
      <c r="F44" s="121">
        <f>SUM(F45:F50)</f>
        <v>148707.3</v>
      </c>
      <c r="G44" s="121">
        <f>SUM(G45:G50)</f>
        <v>148707.3</v>
      </c>
      <c r="H44" s="110">
        <f t="shared" si="0"/>
        <v>445622.89999999997</v>
      </c>
    </row>
    <row r="45" spans="1:8" ht="40.5" customHeight="1">
      <c r="A45" s="101"/>
      <c r="B45" s="126"/>
      <c r="C45" s="122" t="s">
        <v>1323</v>
      </c>
      <c r="D45" s="112"/>
      <c r="E45" s="123">
        <f>ROUND(146708309/1000,1)+1500</f>
        <v>148208.3</v>
      </c>
      <c r="F45" s="123">
        <f>ROUND(148707309/1000,1)</f>
        <v>148707.3</v>
      </c>
      <c r="G45" s="123">
        <f>ROUND(148707309/1000,1)</f>
        <v>148707.3</v>
      </c>
      <c r="H45" s="110">
        <f t="shared" si="0"/>
        <v>445622.89999999997</v>
      </c>
    </row>
    <row r="46" spans="1:8" ht="40.5" customHeight="1">
      <c r="A46" s="101"/>
      <c r="B46" s="126"/>
      <c r="C46" s="122" t="s">
        <v>1324</v>
      </c>
      <c r="D46" s="118"/>
      <c r="E46" s="118">
        <v>0</v>
      </c>
      <c r="F46" s="118">
        <v>0</v>
      </c>
      <c r="G46" s="118">
        <v>0</v>
      </c>
      <c r="H46" s="110">
        <f t="shared" si="0"/>
        <v>0</v>
      </c>
    </row>
    <row r="47" spans="1:8" ht="67.5" customHeight="1">
      <c r="A47" s="101"/>
      <c r="B47" s="126"/>
      <c r="C47" s="122" t="s">
        <v>1325</v>
      </c>
      <c r="D47" s="112"/>
      <c r="E47" s="123">
        <v>0</v>
      </c>
      <c r="F47" s="123">
        <v>0</v>
      </c>
      <c r="G47" s="123">
        <v>0</v>
      </c>
      <c r="H47" s="110">
        <f t="shared" si="0"/>
        <v>0</v>
      </c>
    </row>
    <row r="48" spans="1:8" ht="40.5" customHeight="1">
      <c r="A48" s="101"/>
      <c r="B48" s="126"/>
      <c r="C48" s="125" t="s">
        <v>1326</v>
      </c>
      <c r="D48" s="118"/>
      <c r="E48" s="123">
        <v>0</v>
      </c>
      <c r="F48" s="123">
        <v>0</v>
      </c>
      <c r="G48" s="123">
        <v>0</v>
      </c>
      <c r="H48" s="110">
        <f t="shared" si="0"/>
        <v>0</v>
      </c>
    </row>
    <row r="49" spans="1:8" ht="40.5" customHeight="1">
      <c r="A49" s="101"/>
      <c r="B49" s="126"/>
      <c r="C49" s="122" t="s">
        <v>1327</v>
      </c>
      <c r="D49" s="112"/>
      <c r="E49" s="123">
        <v>0</v>
      </c>
      <c r="F49" s="123">
        <v>0</v>
      </c>
      <c r="G49" s="123">
        <v>0</v>
      </c>
      <c r="H49" s="110">
        <f t="shared" si="0"/>
        <v>0</v>
      </c>
    </row>
    <row r="50" spans="1:8" ht="40.5" customHeight="1">
      <c r="A50" s="101"/>
      <c r="B50" s="126"/>
      <c r="C50" s="122" t="s">
        <v>1328</v>
      </c>
      <c r="D50" s="112"/>
      <c r="E50" s="123">
        <v>0</v>
      </c>
      <c r="F50" s="123">
        <v>0</v>
      </c>
      <c r="G50" s="123">
        <v>0</v>
      </c>
      <c r="H50" s="110">
        <f t="shared" si="0"/>
        <v>0</v>
      </c>
    </row>
    <row r="51" spans="1:8" ht="40.5" customHeight="1">
      <c r="A51" s="101" t="s">
        <v>1333</v>
      </c>
      <c r="B51" s="126" t="s">
        <v>813</v>
      </c>
      <c r="C51" s="120" t="s">
        <v>1322</v>
      </c>
      <c r="D51" s="109"/>
      <c r="E51" s="121">
        <f>SUM(E52:E57)</f>
        <v>50000</v>
      </c>
      <c r="F51" s="121">
        <f>SUM(F52:F57)</f>
        <v>100000</v>
      </c>
      <c r="G51" s="121">
        <f>SUM(G52:G57)</f>
        <v>100000</v>
      </c>
      <c r="H51" s="110">
        <f t="shared" si="0"/>
        <v>250000</v>
      </c>
    </row>
    <row r="52" spans="1:8" ht="40.5" customHeight="1">
      <c r="A52" s="101"/>
      <c r="B52" s="126"/>
      <c r="C52" s="122" t="s">
        <v>1323</v>
      </c>
      <c r="D52" s="112"/>
      <c r="E52" s="123">
        <f>'[1]Таблица 7а'!$J$12</f>
        <v>50000</v>
      </c>
      <c r="F52" s="123">
        <f>'[1]Таблица 7а'!$K$12</f>
        <v>100000</v>
      </c>
      <c r="G52" s="123">
        <f>'[1]Таблица 7а'!$L$12</f>
        <v>100000</v>
      </c>
      <c r="H52" s="110">
        <f t="shared" si="0"/>
        <v>250000</v>
      </c>
    </row>
    <row r="53" spans="1:8" ht="40.5" customHeight="1">
      <c r="A53" s="101"/>
      <c r="B53" s="126"/>
      <c r="C53" s="122" t="s">
        <v>1324</v>
      </c>
      <c r="D53" s="118"/>
      <c r="E53" s="118">
        <v>0</v>
      </c>
      <c r="F53" s="118">
        <v>0</v>
      </c>
      <c r="G53" s="118">
        <v>0</v>
      </c>
      <c r="H53" s="110">
        <f t="shared" si="0"/>
        <v>0</v>
      </c>
    </row>
    <row r="54" spans="1:8" ht="40.5" customHeight="1">
      <c r="A54" s="101"/>
      <c r="B54" s="126"/>
      <c r="C54" s="122" t="s">
        <v>1325</v>
      </c>
      <c r="D54" s="112"/>
      <c r="E54" s="123">
        <v>0</v>
      </c>
      <c r="F54" s="123">
        <v>0</v>
      </c>
      <c r="G54" s="123">
        <v>0</v>
      </c>
      <c r="H54" s="110">
        <f t="shared" si="0"/>
        <v>0</v>
      </c>
    </row>
    <row r="55" spans="1:8" ht="40.5" customHeight="1">
      <c r="A55" s="101"/>
      <c r="B55" s="126"/>
      <c r="C55" s="125" t="s">
        <v>1326</v>
      </c>
      <c r="D55" s="118"/>
      <c r="E55" s="123">
        <v>0</v>
      </c>
      <c r="F55" s="123">
        <v>0</v>
      </c>
      <c r="G55" s="123">
        <v>0</v>
      </c>
      <c r="H55" s="110">
        <f t="shared" si="0"/>
        <v>0</v>
      </c>
    </row>
    <row r="56" spans="1:8" ht="40.5" customHeight="1">
      <c r="A56" s="101"/>
      <c r="B56" s="126"/>
      <c r="C56" s="122" t="s">
        <v>1327</v>
      </c>
      <c r="D56" s="112"/>
      <c r="E56" s="123">
        <v>0</v>
      </c>
      <c r="F56" s="123">
        <v>0</v>
      </c>
      <c r="G56" s="123">
        <v>0</v>
      </c>
      <c r="H56" s="110">
        <f t="shared" si="0"/>
        <v>0</v>
      </c>
    </row>
    <row r="57" spans="1:8" ht="40.5" customHeight="1">
      <c r="A57" s="101"/>
      <c r="B57" s="126"/>
      <c r="C57" s="122" t="s">
        <v>1328</v>
      </c>
      <c r="D57" s="112"/>
      <c r="E57" s="123">
        <v>0</v>
      </c>
      <c r="F57" s="123">
        <v>0</v>
      </c>
      <c r="G57" s="123">
        <v>0</v>
      </c>
      <c r="H57" s="110">
        <f t="shared" si="0"/>
        <v>0</v>
      </c>
    </row>
    <row r="58" spans="1:8" ht="40.5" customHeight="1">
      <c r="A58" s="101" t="s">
        <v>816</v>
      </c>
      <c r="B58" s="119" t="s">
        <v>1334</v>
      </c>
      <c r="C58" s="120" t="s">
        <v>1322</v>
      </c>
      <c r="D58" s="109"/>
      <c r="E58" s="121">
        <f>SUM(E59:E64)</f>
        <v>15000</v>
      </c>
      <c r="F58" s="121">
        <f>SUM(F59:F64)</f>
        <v>15000</v>
      </c>
      <c r="G58" s="121">
        <f>SUM(G59:G64)</f>
        <v>15000</v>
      </c>
      <c r="H58" s="110">
        <f t="shared" si="0"/>
        <v>45000</v>
      </c>
    </row>
    <row r="59" spans="1:8" ht="40.5" customHeight="1">
      <c r="A59" s="101"/>
      <c r="B59" s="119"/>
      <c r="C59" s="122" t="s">
        <v>1323</v>
      </c>
      <c r="D59" s="112"/>
      <c r="E59" s="123">
        <f>ROUND(15000000/1000,1)</f>
        <v>15000</v>
      </c>
      <c r="F59" s="123">
        <f>ROUND(15000000/1000,1)</f>
        <v>15000</v>
      </c>
      <c r="G59" s="123">
        <f>ROUND(15000000/1000,1)</f>
        <v>15000</v>
      </c>
      <c r="H59" s="110">
        <f t="shared" si="0"/>
        <v>45000</v>
      </c>
    </row>
    <row r="60" spans="1:8" ht="40.5" customHeight="1">
      <c r="A60" s="101"/>
      <c r="B60" s="119"/>
      <c r="C60" s="122" t="s">
        <v>1324</v>
      </c>
      <c r="D60" s="118"/>
      <c r="E60" s="118">
        <v>0</v>
      </c>
      <c r="F60" s="118">
        <v>0</v>
      </c>
      <c r="G60" s="118">
        <v>0</v>
      </c>
      <c r="H60" s="110">
        <f t="shared" si="0"/>
        <v>0</v>
      </c>
    </row>
    <row r="61" spans="1:8" ht="40.5" customHeight="1">
      <c r="A61" s="101"/>
      <c r="B61" s="119"/>
      <c r="C61" s="122" t="s">
        <v>1325</v>
      </c>
      <c r="D61" s="112"/>
      <c r="E61" s="123">
        <v>0</v>
      </c>
      <c r="F61" s="123">
        <v>0</v>
      </c>
      <c r="G61" s="123">
        <v>0</v>
      </c>
      <c r="H61" s="110">
        <f t="shared" si="0"/>
        <v>0</v>
      </c>
    </row>
    <row r="62" spans="1:8" ht="40.5" customHeight="1">
      <c r="A62" s="101"/>
      <c r="B62" s="119"/>
      <c r="C62" s="125" t="s">
        <v>1326</v>
      </c>
      <c r="D62" s="118"/>
      <c r="E62" s="123">
        <v>0</v>
      </c>
      <c r="F62" s="123">
        <v>0</v>
      </c>
      <c r="G62" s="123">
        <v>0</v>
      </c>
      <c r="H62" s="110">
        <f t="shared" si="0"/>
        <v>0</v>
      </c>
    </row>
    <row r="63" spans="1:8" ht="40.5" customHeight="1">
      <c r="A63" s="101"/>
      <c r="B63" s="119"/>
      <c r="C63" s="122" t="s">
        <v>1327</v>
      </c>
      <c r="D63" s="112"/>
      <c r="E63" s="123">
        <v>0</v>
      </c>
      <c r="F63" s="123">
        <v>0</v>
      </c>
      <c r="G63" s="123">
        <v>0</v>
      </c>
      <c r="H63" s="110">
        <f t="shared" si="0"/>
        <v>0</v>
      </c>
    </row>
    <row r="64" spans="1:8" ht="40.5" customHeight="1">
      <c r="A64" s="101"/>
      <c r="B64" s="119"/>
      <c r="C64" s="122" t="s">
        <v>1328</v>
      </c>
      <c r="D64" s="112"/>
      <c r="E64" s="123">
        <v>0</v>
      </c>
      <c r="F64" s="123">
        <v>0</v>
      </c>
      <c r="G64" s="123">
        <v>0</v>
      </c>
      <c r="H64" s="110">
        <f t="shared" si="0"/>
        <v>0</v>
      </c>
    </row>
    <row r="65" spans="1:8" ht="40.5" customHeight="1">
      <c r="A65" s="101" t="s">
        <v>819</v>
      </c>
      <c r="B65" s="126" t="s">
        <v>1335</v>
      </c>
      <c r="C65" s="120" t="s">
        <v>1322</v>
      </c>
      <c r="D65" s="109"/>
      <c r="E65" s="121">
        <f>SUM(E66:E71)</f>
        <v>22788.9</v>
      </c>
      <c r="F65" s="121">
        <f>SUM(F66:F71)</f>
        <v>22788.9</v>
      </c>
      <c r="G65" s="121">
        <f>SUM(G66:G71)</f>
        <v>22788.9</v>
      </c>
      <c r="H65" s="110">
        <f t="shared" si="0"/>
        <v>68366.70000000001</v>
      </c>
    </row>
    <row r="66" spans="1:8" ht="40.5" customHeight="1">
      <c r="A66" s="101"/>
      <c r="B66" s="126"/>
      <c r="C66" s="122" t="s">
        <v>1323</v>
      </c>
      <c r="D66" s="112"/>
      <c r="E66" s="123">
        <f>ROUND(22788909/1000,1)</f>
        <v>22788.9</v>
      </c>
      <c r="F66" s="123">
        <f>ROUND(22788909/1000,1)</f>
        <v>22788.9</v>
      </c>
      <c r="G66" s="123">
        <f>ROUND(22788909/1000,1)</f>
        <v>22788.9</v>
      </c>
      <c r="H66" s="110">
        <f t="shared" si="0"/>
        <v>68366.70000000001</v>
      </c>
    </row>
    <row r="67" spans="1:8" ht="40.5" customHeight="1">
      <c r="A67" s="101"/>
      <c r="B67" s="126"/>
      <c r="C67" s="122" t="s">
        <v>1324</v>
      </c>
      <c r="D67" s="118"/>
      <c r="E67" s="118">
        <v>0</v>
      </c>
      <c r="F67" s="118">
        <v>0</v>
      </c>
      <c r="G67" s="118">
        <v>0</v>
      </c>
      <c r="H67" s="110">
        <f t="shared" si="0"/>
        <v>0</v>
      </c>
    </row>
    <row r="68" spans="1:8" ht="40.5" customHeight="1">
      <c r="A68" s="101"/>
      <c r="B68" s="126"/>
      <c r="C68" s="122" t="s">
        <v>1325</v>
      </c>
      <c r="D68" s="112"/>
      <c r="E68" s="123">
        <v>0</v>
      </c>
      <c r="F68" s="123">
        <v>0</v>
      </c>
      <c r="G68" s="123">
        <v>0</v>
      </c>
      <c r="H68" s="110">
        <f t="shared" si="0"/>
        <v>0</v>
      </c>
    </row>
    <row r="69" spans="1:8" ht="40.5" customHeight="1">
      <c r="A69" s="101"/>
      <c r="B69" s="126"/>
      <c r="C69" s="125" t="s">
        <v>1326</v>
      </c>
      <c r="D69" s="118"/>
      <c r="E69" s="123">
        <v>0</v>
      </c>
      <c r="F69" s="123">
        <v>0</v>
      </c>
      <c r="G69" s="123">
        <v>0</v>
      </c>
      <c r="H69" s="110">
        <f t="shared" si="0"/>
        <v>0</v>
      </c>
    </row>
    <row r="70" spans="1:8" ht="40.5" customHeight="1">
      <c r="A70" s="101"/>
      <c r="B70" s="126"/>
      <c r="C70" s="122" t="s">
        <v>1327</v>
      </c>
      <c r="D70" s="112"/>
      <c r="E70" s="123">
        <v>0</v>
      </c>
      <c r="F70" s="123">
        <v>0</v>
      </c>
      <c r="G70" s="123">
        <v>0</v>
      </c>
      <c r="H70" s="110">
        <f t="shared" si="0"/>
        <v>0</v>
      </c>
    </row>
    <row r="71" spans="1:8" ht="40.5" customHeight="1">
      <c r="A71" s="101"/>
      <c r="B71" s="126"/>
      <c r="C71" s="122" t="s">
        <v>1328</v>
      </c>
      <c r="D71" s="112"/>
      <c r="E71" s="123">
        <v>0</v>
      </c>
      <c r="F71" s="123">
        <v>0</v>
      </c>
      <c r="G71" s="123">
        <v>0</v>
      </c>
      <c r="H71" s="110">
        <f t="shared" si="0"/>
        <v>0</v>
      </c>
    </row>
    <row r="72" spans="1:8" s="127" customFormat="1" ht="40.5" customHeight="1">
      <c r="A72" s="106" t="s">
        <v>836</v>
      </c>
      <c r="B72" s="114" t="s">
        <v>837</v>
      </c>
      <c r="C72" s="115" t="s">
        <v>1322</v>
      </c>
      <c r="D72" s="109"/>
      <c r="E72" s="109">
        <f>E73+E76</f>
        <v>7075941.1</v>
      </c>
      <c r="F72" s="109">
        <f>F73+F76</f>
        <v>8320353.2</v>
      </c>
      <c r="G72" s="109">
        <f>G73+G76</f>
        <v>8509652.3</v>
      </c>
      <c r="H72" s="110">
        <f t="shared" si="0"/>
        <v>23905946.6</v>
      </c>
    </row>
    <row r="73" spans="1:10" s="127" customFormat="1" ht="40.5" customHeight="1">
      <c r="A73" s="106"/>
      <c r="B73" s="114"/>
      <c r="C73" s="108" t="s">
        <v>1323</v>
      </c>
      <c r="D73" s="112"/>
      <c r="E73" s="112">
        <f>'ТАБЛИЦА 6'!I34</f>
        <v>2286998.8000000003</v>
      </c>
      <c r="F73" s="112">
        <f>'ТАБЛИЦА 6'!J34</f>
        <v>2987264.9000000004</v>
      </c>
      <c r="G73" s="112">
        <f>'ТАБЛИЦА 6'!K34</f>
        <v>2846189.5</v>
      </c>
      <c r="H73" s="110">
        <f t="shared" si="0"/>
        <v>8120453.200000001</v>
      </c>
      <c r="J73" s="110"/>
    </row>
    <row r="74" spans="1:10" s="127" customFormat="1" ht="40.5" customHeight="1">
      <c r="A74" s="106"/>
      <c r="B74" s="114"/>
      <c r="C74" s="108" t="s">
        <v>1324</v>
      </c>
      <c r="D74" s="118"/>
      <c r="E74" s="118">
        <f>E95</f>
        <v>1028.6</v>
      </c>
      <c r="F74" s="118">
        <f>F95</f>
        <v>1028.6</v>
      </c>
      <c r="G74" s="118">
        <f>G95</f>
        <v>1028.6</v>
      </c>
      <c r="H74" s="110">
        <f t="shared" si="0"/>
        <v>3085.7999999999997</v>
      </c>
      <c r="J74" s="110"/>
    </row>
    <row r="75" spans="1:8" s="127" customFormat="1" ht="40.5" customHeight="1">
      <c r="A75" s="106"/>
      <c r="B75" s="114"/>
      <c r="C75" s="108" t="s">
        <v>1325</v>
      </c>
      <c r="D75" s="112"/>
      <c r="E75" s="112">
        <v>0</v>
      </c>
      <c r="F75" s="112">
        <v>0</v>
      </c>
      <c r="G75" s="112">
        <v>0</v>
      </c>
      <c r="H75" s="110">
        <f t="shared" si="0"/>
        <v>0</v>
      </c>
    </row>
    <row r="76" spans="1:8" s="127" customFormat="1" ht="40.5" customHeight="1">
      <c r="A76" s="106"/>
      <c r="B76" s="114"/>
      <c r="C76" s="113" t="s">
        <v>1326</v>
      </c>
      <c r="D76" s="118"/>
      <c r="E76" s="118">
        <v>4788942.3</v>
      </c>
      <c r="F76" s="118">
        <v>5333088.3</v>
      </c>
      <c r="G76" s="118">
        <v>5663462.8</v>
      </c>
      <c r="H76" s="110">
        <f t="shared" si="0"/>
        <v>15785493.399999999</v>
      </c>
    </row>
    <row r="77" spans="1:8" s="127" customFormat="1" ht="40.5" customHeight="1">
      <c r="A77" s="106"/>
      <c r="B77" s="114"/>
      <c r="C77" s="108" t="s">
        <v>1327</v>
      </c>
      <c r="D77" s="112"/>
      <c r="E77" s="112">
        <v>0</v>
      </c>
      <c r="F77" s="112">
        <v>0</v>
      </c>
      <c r="G77" s="112">
        <v>0</v>
      </c>
      <c r="H77" s="110">
        <f t="shared" si="0"/>
        <v>0</v>
      </c>
    </row>
    <row r="78" spans="1:8" s="127" customFormat="1" ht="40.5" customHeight="1">
      <c r="A78" s="106"/>
      <c r="B78" s="114"/>
      <c r="C78" s="108" t="s">
        <v>1328</v>
      </c>
      <c r="D78" s="112"/>
      <c r="E78" s="112">
        <v>0</v>
      </c>
      <c r="F78" s="112">
        <v>0</v>
      </c>
      <c r="G78" s="112">
        <v>0</v>
      </c>
      <c r="H78" s="110">
        <f t="shared" si="0"/>
        <v>0</v>
      </c>
    </row>
    <row r="79" spans="1:8" ht="40.5" customHeight="1">
      <c r="A79" s="101" t="s">
        <v>842</v>
      </c>
      <c r="B79" s="126" t="s">
        <v>843</v>
      </c>
      <c r="C79" s="120" t="s">
        <v>1322</v>
      </c>
      <c r="D79" s="109"/>
      <c r="E79" s="121">
        <f>SUM(E80:E85)</f>
        <v>435976.6</v>
      </c>
      <c r="F79" s="121">
        <f>SUM(F80:F85)</f>
        <v>440544.4</v>
      </c>
      <c r="G79" s="121">
        <f>SUM(G80:G85)</f>
        <v>445188.2</v>
      </c>
      <c r="H79" s="110">
        <f t="shared" si="0"/>
        <v>1321709.2</v>
      </c>
    </row>
    <row r="80" spans="1:8" ht="40.5" customHeight="1">
      <c r="A80" s="101"/>
      <c r="B80" s="126"/>
      <c r="C80" s="122" t="s">
        <v>1323</v>
      </c>
      <c r="D80" s="112"/>
      <c r="E80" s="123">
        <f>ROUND(435976600/1000,1)</f>
        <v>435976.6</v>
      </c>
      <c r="F80" s="123">
        <f>ROUND(440544412/1000,1)</f>
        <v>440544.4</v>
      </c>
      <c r="G80" s="123">
        <f>ROUND(445188214/1000,1)</f>
        <v>445188.2</v>
      </c>
      <c r="H80" s="110">
        <f t="shared" si="0"/>
        <v>1321709.2</v>
      </c>
    </row>
    <row r="81" spans="1:8" ht="40.5" customHeight="1">
      <c r="A81" s="101"/>
      <c r="B81" s="126"/>
      <c r="C81" s="122" t="s">
        <v>1324</v>
      </c>
      <c r="D81" s="118"/>
      <c r="E81" s="118">
        <v>0</v>
      </c>
      <c r="F81" s="118">
        <v>0</v>
      </c>
      <c r="G81" s="118">
        <v>0</v>
      </c>
      <c r="H81" s="110">
        <f t="shared" si="0"/>
        <v>0</v>
      </c>
    </row>
    <row r="82" spans="1:8" ht="40.5" customHeight="1">
      <c r="A82" s="101"/>
      <c r="B82" s="126"/>
      <c r="C82" s="122" t="s">
        <v>1325</v>
      </c>
      <c r="D82" s="112"/>
      <c r="E82" s="123">
        <v>0</v>
      </c>
      <c r="F82" s="123">
        <v>0</v>
      </c>
      <c r="G82" s="123">
        <v>0</v>
      </c>
      <c r="H82" s="110">
        <f t="shared" si="0"/>
        <v>0</v>
      </c>
    </row>
    <row r="83" spans="1:8" ht="40.5" customHeight="1">
      <c r="A83" s="101"/>
      <c r="B83" s="126"/>
      <c r="C83" s="125" t="s">
        <v>1326</v>
      </c>
      <c r="D83" s="118"/>
      <c r="E83" s="123">
        <v>0</v>
      </c>
      <c r="F83" s="123">
        <v>0</v>
      </c>
      <c r="G83" s="123">
        <v>0</v>
      </c>
      <c r="H83" s="110">
        <f t="shared" si="0"/>
        <v>0</v>
      </c>
    </row>
    <row r="84" spans="1:8" ht="40.5" customHeight="1">
      <c r="A84" s="101"/>
      <c r="B84" s="126"/>
      <c r="C84" s="122" t="s">
        <v>1327</v>
      </c>
      <c r="D84" s="112"/>
      <c r="E84" s="123">
        <v>0</v>
      </c>
      <c r="F84" s="123">
        <v>0</v>
      </c>
      <c r="G84" s="123">
        <v>0</v>
      </c>
      <c r="H84" s="110">
        <f t="shared" si="0"/>
        <v>0</v>
      </c>
    </row>
    <row r="85" spans="1:8" ht="40.5" customHeight="1">
      <c r="A85" s="101"/>
      <c r="B85" s="126"/>
      <c r="C85" s="122" t="s">
        <v>1328</v>
      </c>
      <c r="D85" s="112"/>
      <c r="E85" s="123">
        <v>0</v>
      </c>
      <c r="F85" s="123">
        <v>0</v>
      </c>
      <c r="G85" s="123">
        <v>0</v>
      </c>
      <c r="H85" s="110">
        <f t="shared" si="0"/>
        <v>0</v>
      </c>
    </row>
    <row r="86" spans="1:8" ht="40.5" customHeight="1">
      <c r="A86" s="101" t="s">
        <v>846</v>
      </c>
      <c r="B86" s="126" t="s">
        <v>847</v>
      </c>
      <c r="C86" s="120" t="s">
        <v>1322</v>
      </c>
      <c r="D86" s="109"/>
      <c r="E86" s="121">
        <f>SUM(E87:E92)</f>
        <v>40534.9</v>
      </c>
      <c r="F86" s="121">
        <f>SUM(F87:F92)</f>
        <v>40534.9</v>
      </c>
      <c r="G86" s="121">
        <f>SUM(G87:G92)</f>
        <v>40534.9</v>
      </c>
      <c r="H86" s="110">
        <f t="shared" si="0"/>
        <v>121604.70000000001</v>
      </c>
    </row>
    <row r="87" spans="1:8" ht="40.5" customHeight="1">
      <c r="A87" s="101"/>
      <c r="B87" s="126"/>
      <c r="C87" s="122" t="s">
        <v>1323</v>
      </c>
      <c r="D87" s="112"/>
      <c r="E87" s="123">
        <f>ROUND(40534890/1000,1)</f>
        <v>40534.9</v>
      </c>
      <c r="F87" s="123">
        <f>ROUND(40534890/1000,1)</f>
        <v>40534.9</v>
      </c>
      <c r="G87" s="123">
        <f>ROUND(40534890/1000,1)</f>
        <v>40534.9</v>
      </c>
      <c r="H87" s="110">
        <f t="shared" si="0"/>
        <v>121604.70000000001</v>
      </c>
    </row>
    <row r="88" spans="1:8" ht="40.5" customHeight="1">
      <c r="A88" s="101"/>
      <c r="B88" s="126"/>
      <c r="C88" s="122" t="s">
        <v>1324</v>
      </c>
      <c r="D88" s="118"/>
      <c r="E88" s="118">
        <v>0</v>
      </c>
      <c r="F88" s="118">
        <v>0</v>
      </c>
      <c r="G88" s="118">
        <v>0</v>
      </c>
      <c r="H88" s="110">
        <f t="shared" si="0"/>
        <v>0</v>
      </c>
    </row>
    <row r="89" spans="1:8" ht="40.5" customHeight="1">
      <c r="A89" s="101"/>
      <c r="B89" s="126"/>
      <c r="C89" s="122" t="s">
        <v>1325</v>
      </c>
      <c r="D89" s="112"/>
      <c r="E89" s="123">
        <v>0</v>
      </c>
      <c r="F89" s="123">
        <v>0</v>
      </c>
      <c r="G89" s="123">
        <v>0</v>
      </c>
      <c r="H89" s="110">
        <f t="shared" si="0"/>
        <v>0</v>
      </c>
    </row>
    <row r="90" spans="1:8" ht="40.5" customHeight="1">
      <c r="A90" s="101"/>
      <c r="B90" s="126"/>
      <c r="C90" s="125" t="s">
        <v>1326</v>
      </c>
      <c r="D90" s="118"/>
      <c r="E90" s="123">
        <v>0</v>
      </c>
      <c r="F90" s="123">
        <v>0</v>
      </c>
      <c r="G90" s="123">
        <v>0</v>
      </c>
      <c r="H90" s="110">
        <f t="shared" si="0"/>
        <v>0</v>
      </c>
    </row>
    <row r="91" spans="1:8" ht="40.5" customHeight="1">
      <c r="A91" s="101"/>
      <c r="B91" s="126"/>
      <c r="C91" s="122" t="s">
        <v>1327</v>
      </c>
      <c r="D91" s="112"/>
      <c r="E91" s="123">
        <v>0</v>
      </c>
      <c r="F91" s="123">
        <v>0</v>
      </c>
      <c r="G91" s="123">
        <v>0</v>
      </c>
      <c r="H91" s="110">
        <f t="shared" si="0"/>
        <v>0</v>
      </c>
    </row>
    <row r="92" spans="1:8" ht="40.5" customHeight="1">
      <c r="A92" s="101"/>
      <c r="B92" s="126"/>
      <c r="C92" s="122" t="s">
        <v>1328</v>
      </c>
      <c r="D92" s="112"/>
      <c r="E92" s="123">
        <v>0</v>
      </c>
      <c r="F92" s="123">
        <v>0</v>
      </c>
      <c r="G92" s="123">
        <v>0</v>
      </c>
      <c r="H92" s="110">
        <f t="shared" si="0"/>
        <v>0</v>
      </c>
    </row>
    <row r="93" spans="1:8" ht="40.5" customHeight="1">
      <c r="A93" s="101" t="s">
        <v>853</v>
      </c>
      <c r="B93" s="119" t="s">
        <v>854</v>
      </c>
      <c r="C93" s="120" t="s">
        <v>1322</v>
      </c>
      <c r="D93" s="109"/>
      <c r="E93" s="121">
        <f>E94</f>
        <v>1028.6</v>
      </c>
      <c r="F93" s="121">
        <f>F94</f>
        <v>1028.6</v>
      </c>
      <c r="G93" s="121">
        <f>G94</f>
        <v>1028.6</v>
      </c>
      <c r="H93" s="110">
        <f t="shared" si="0"/>
        <v>3085.7999999999997</v>
      </c>
    </row>
    <row r="94" spans="1:8" ht="40.5" customHeight="1">
      <c r="A94" s="101"/>
      <c r="B94" s="119"/>
      <c r="C94" s="122" t="s">
        <v>1323</v>
      </c>
      <c r="D94" s="112"/>
      <c r="E94" s="123">
        <v>1028.6</v>
      </c>
      <c r="F94" s="123">
        <v>1028.6</v>
      </c>
      <c r="G94" s="123">
        <v>1028.6</v>
      </c>
      <c r="H94" s="110">
        <f t="shared" si="0"/>
        <v>3085.7999999999997</v>
      </c>
    </row>
    <row r="95" spans="1:8" ht="40.5" customHeight="1">
      <c r="A95" s="101"/>
      <c r="B95" s="119"/>
      <c r="C95" s="122" t="s">
        <v>1324</v>
      </c>
      <c r="D95" s="118"/>
      <c r="E95" s="123">
        <v>1028.6</v>
      </c>
      <c r="F95" s="123">
        <v>1028.6</v>
      </c>
      <c r="G95" s="123">
        <v>1028.6</v>
      </c>
      <c r="H95" s="110">
        <f t="shared" si="0"/>
        <v>3085.7999999999997</v>
      </c>
    </row>
    <row r="96" spans="1:8" ht="40.5" customHeight="1">
      <c r="A96" s="101"/>
      <c r="B96" s="119"/>
      <c r="C96" s="122" t="s">
        <v>1325</v>
      </c>
      <c r="D96" s="112"/>
      <c r="E96" s="123">
        <v>0</v>
      </c>
      <c r="F96" s="123">
        <v>0</v>
      </c>
      <c r="G96" s="123">
        <v>0</v>
      </c>
      <c r="H96" s="110">
        <f t="shared" si="0"/>
        <v>0</v>
      </c>
    </row>
    <row r="97" spans="1:8" ht="40.5" customHeight="1">
      <c r="A97" s="101"/>
      <c r="B97" s="119"/>
      <c r="C97" s="125" t="s">
        <v>1326</v>
      </c>
      <c r="D97" s="118"/>
      <c r="E97" s="123">
        <v>0</v>
      </c>
      <c r="F97" s="123">
        <v>0</v>
      </c>
      <c r="G97" s="123">
        <v>0</v>
      </c>
      <c r="H97" s="110">
        <f t="shared" si="0"/>
        <v>0</v>
      </c>
    </row>
    <row r="98" spans="1:8" ht="40.5" customHeight="1">
      <c r="A98" s="101"/>
      <c r="B98" s="119"/>
      <c r="C98" s="122" t="s">
        <v>1327</v>
      </c>
      <c r="D98" s="112"/>
      <c r="E98" s="123">
        <v>0</v>
      </c>
      <c r="F98" s="123">
        <v>0</v>
      </c>
      <c r="G98" s="123">
        <v>0</v>
      </c>
      <c r="H98" s="110">
        <f t="shared" si="0"/>
        <v>0</v>
      </c>
    </row>
    <row r="99" spans="1:8" ht="40.5" customHeight="1">
      <c r="A99" s="101"/>
      <c r="B99" s="119"/>
      <c r="C99" s="122" t="s">
        <v>1328</v>
      </c>
      <c r="D99" s="112"/>
      <c r="E99" s="123">
        <v>0</v>
      </c>
      <c r="F99" s="123">
        <v>0</v>
      </c>
      <c r="G99" s="123">
        <v>0</v>
      </c>
      <c r="H99" s="110">
        <f t="shared" si="0"/>
        <v>0</v>
      </c>
    </row>
    <row r="100" spans="1:8" ht="40.5" customHeight="1">
      <c r="A100" s="101" t="s">
        <v>857</v>
      </c>
      <c r="B100" s="119" t="s">
        <v>858</v>
      </c>
      <c r="C100" s="120" t="s">
        <v>1322</v>
      </c>
      <c r="D100" s="109"/>
      <c r="E100" s="121">
        <f>SUM(E101:E106)</f>
        <v>27263.3</v>
      </c>
      <c r="F100" s="121">
        <f>SUM(F101:F106)</f>
        <v>27706.1</v>
      </c>
      <c r="G100" s="121">
        <f>SUM(G101:G106)</f>
        <v>28156.3</v>
      </c>
      <c r="H100" s="110">
        <f t="shared" si="0"/>
        <v>83125.7</v>
      </c>
    </row>
    <row r="101" spans="1:8" ht="40.5" customHeight="1">
      <c r="A101" s="101"/>
      <c r="B101" s="119"/>
      <c r="C101" s="122" t="s">
        <v>1323</v>
      </c>
      <c r="D101" s="112"/>
      <c r="E101" s="123">
        <f>ROUND(27263276/1000,1)</f>
        <v>27263.3</v>
      </c>
      <c r="F101" s="123">
        <f>ROUND(27706107/1000,1)</f>
        <v>27706.1</v>
      </c>
      <c r="G101" s="123">
        <f>ROUND(28156304/1000,1)</f>
        <v>28156.3</v>
      </c>
      <c r="H101" s="110">
        <f t="shared" si="0"/>
        <v>83125.7</v>
      </c>
    </row>
    <row r="102" spans="1:8" ht="40.5" customHeight="1">
      <c r="A102" s="101"/>
      <c r="B102" s="119"/>
      <c r="C102" s="122" t="s">
        <v>1324</v>
      </c>
      <c r="D102" s="118"/>
      <c r="E102" s="118">
        <v>0</v>
      </c>
      <c r="F102" s="118">
        <v>0</v>
      </c>
      <c r="G102" s="118">
        <v>0</v>
      </c>
      <c r="H102" s="110">
        <f t="shared" si="0"/>
        <v>0</v>
      </c>
    </row>
    <row r="103" spans="1:8" ht="40.5" customHeight="1">
      <c r="A103" s="101"/>
      <c r="B103" s="119"/>
      <c r="C103" s="122" t="s">
        <v>1325</v>
      </c>
      <c r="D103" s="112"/>
      <c r="E103" s="123">
        <v>0</v>
      </c>
      <c r="F103" s="123">
        <v>0</v>
      </c>
      <c r="G103" s="123">
        <v>0</v>
      </c>
      <c r="H103" s="110">
        <f t="shared" si="0"/>
        <v>0</v>
      </c>
    </row>
    <row r="104" spans="1:8" ht="40.5" customHeight="1">
      <c r="A104" s="101"/>
      <c r="B104" s="119"/>
      <c r="C104" s="125" t="s">
        <v>1326</v>
      </c>
      <c r="D104" s="118"/>
      <c r="E104" s="123">
        <v>0</v>
      </c>
      <c r="F104" s="123">
        <v>0</v>
      </c>
      <c r="G104" s="123">
        <v>0</v>
      </c>
      <c r="H104" s="110">
        <f t="shared" si="0"/>
        <v>0</v>
      </c>
    </row>
    <row r="105" spans="1:8" ht="40.5" customHeight="1">
      <c r="A105" s="101"/>
      <c r="B105" s="119"/>
      <c r="C105" s="122" t="s">
        <v>1327</v>
      </c>
      <c r="D105" s="112"/>
      <c r="E105" s="123">
        <v>0</v>
      </c>
      <c r="F105" s="123">
        <v>0</v>
      </c>
      <c r="G105" s="123">
        <v>0</v>
      </c>
      <c r="H105" s="110">
        <f t="shared" si="0"/>
        <v>0</v>
      </c>
    </row>
    <row r="106" spans="1:8" ht="40.5" customHeight="1">
      <c r="A106" s="101"/>
      <c r="B106" s="119"/>
      <c r="C106" s="122" t="s">
        <v>1328</v>
      </c>
      <c r="D106" s="112"/>
      <c r="E106" s="123">
        <v>0</v>
      </c>
      <c r="F106" s="123">
        <v>0</v>
      </c>
      <c r="G106" s="123">
        <v>0</v>
      </c>
      <c r="H106" s="110">
        <f t="shared" si="0"/>
        <v>0</v>
      </c>
    </row>
    <row r="107" spans="1:8" ht="40.5" customHeight="1">
      <c r="A107" s="101" t="s">
        <v>862</v>
      </c>
      <c r="B107" s="128" t="s">
        <v>863</v>
      </c>
      <c r="C107" s="120" t="s">
        <v>1322</v>
      </c>
      <c r="D107" s="109"/>
      <c r="E107" s="121">
        <f>SUM(E108:E113)</f>
        <v>1949.8</v>
      </c>
      <c r="F107" s="121">
        <f>SUM(F108:F113)</f>
        <v>2057.1</v>
      </c>
      <c r="G107" s="121">
        <f>SUM(G108:G113)</f>
        <v>2166.1</v>
      </c>
      <c r="H107" s="110">
        <f t="shared" si="0"/>
        <v>6173</v>
      </c>
    </row>
    <row r="108" spans="1:8" ht="40.5" customHeight="1">
      <c r="A108" s="101"/>
      <c r="B108" s="128"/>
      <c r="C108" s="122" t="s">
        <v>1323</v>
      </c>
      <c r="D108" s="112"/>
      <c r="E108" s="123">
        <f>ROUND(1949832/1000,1)</f>
        <v>1949.8</v>
      </c>
      <c r="F108" s="123">
        <f>ROUND(2057073/1000,1)</f>
        <v>2057.1</v>
      </c>
      <c r="G108" s="123">
        <f>ROUND(2166098/1000,1)</f>
        <v>2166.1</v>
      </c>
      <c r="H108" s="110">
        <f t="shared" si="0"/>
        <v>6173</v>
      </c>
    </row>
    <row r="109" spans="1:8" ht="40.5" customHeight="1">
      <c r="A109" s="101"/>
      <c r="B109" s="128"/>
      <c r="C109" s="122" t="s">
        <v>1324</v>
      </c>
      <c r="D109" s="118"/>
      <c r="E109" s="118">
        <v>0</v>
      </c>
      <c r="F109" s="118">
        <v>0</v>
      </c>
      <c r="G109" s="118">
        <v>0</v>
      </c>
      <c r="H109" s="110">
        <f t="shared" si="0"/>
        <v>0</v>
      </c>
    </row>
    <row r="110" spans="1:8" ht="40.5" customHeight="1">
      <c r="A110" s="101"/>
      <c r="B110" s="128"/>
      <c r="C110" s="122" t="s">
        <v>1325</v>
      </c>
      <c r="D110" s="112"/>
      <c r="E110" s="123">
        <v>0</v>
      </c>
      <c r="F110" s="123">
        <v>0</v>
      </c>
      <c r="G110" s="123">
        <v>0</v>
      </c>
      <c r="H110" s="110">
        <f t="shared" si="0"/>
        <v>0</v>
      </c>
    </row>
    <row r="111" spans="1:8" ht="40.5" customHeight="1">
      <c r="A111" s="101"/>
      <c r="B111" s="128"/>
      <c r="C111" s="125" t="s">
        <v>1326</v>
      </c>
      <c r="D111" s="118"/>
      <c r="E111" s="123">
        <v>0</v>
      </c>
      <c r="F111" s="123">
        <v>0</v>
      </c>
      <c r="G111" s="123">
        <v>0</v>
      </c>
      <c r="H111" s="110">
        <f t="shared" si="0"/>
        <v>0</v>
      </c>
    </row>
    <row r="112" spans="1:8" ht="40.5" customHeight="1">
      <c r="A112" s="101"/>
      <c r="B112" s="128"/>
      <c r="C112" s="122" t="s">
        <v>1327</v>
      </c>
      <c r="D112" s="112"/>
      <c r="E112" s="123">
        <v>0</v>
      </c>
      <c r="F112" s="123">
        <v>0</v>
      </c>
      <c r="G112" s="123">
        <v>0</v>
      </c>
      <c r="H112" s="110">
        <f t="shared" si="0"/>
        <v>0</v>
      </c>
    </row>
    <row r="113" spans="1:8" ht="40.5" customHeight="1">
      <c r="A113" s="101"/>
      <c r="B113" s="128"/>
      <c r="C113" s="122" t="s">
        <v>1328</v>
      </c>
      <c r="D113" s="112"/>
      <c r="E113" s="123">
        <v>0</v>
      </c>
      <c r="F113" s="123">
        <v>0</v>
      </c>
      <c r="G113" s="123">
        <v>0</v>
      </c>
      <c r="H113" s="110">
        <f t="shared" si="0"/>
        <v>0</v>
      </c>
    </row>
    <row r="114" spans="1:8" ht="40.5" customHeight="1">
      <c r="A114" s="101" t="s">
        <v>866</v>
      </c>
      <c r="B114" s="100" t="s">
        <v>867</v>
      </c>
      <c r="C114" s="120" t="s">
        <v>1322</v>
      </c>
      <c r="D114" s="109"/>
      <c r="E114" s="121">
        <f>SUM(E115:E120)</f>
        <v>650</v>
      </c>
      <c r="F114" s="121">
        <f>SUM(F115:F120)</f>
        <v>0</v>
      </c>
      <c r="G114" s="121">
        <f>SUM(G115:G120)</f>
        <v>0</v>
      </c>
      <c r="H114" s="110">
        <f t="shared" si="0"/>
        <v>650</v>
      </c>
    </row>
    <row r="115" spans="1:8" ht="40.5" customHeight="1">
      <c r="A115" s="101"/>
      <c r="B115" s="100"/>
      <c r="C115" s="122" t="s">
        <v>1323</v>
      </c>
      <c r="D115" s="112"/>
      <c r="E115" s="123">
        <f>ROUND(650000/1000,2)</f>
        <v>650</v>
      </c>
      <c r="F115" s="123">
        <v>0</v>
      </c>
      <c r="G115" s="123">
        <v>0</v>
      </c>
      <c r="H115" s="110">
        <f t="shared" si="0"/>
        <v>650</v>
      </c>
    </row>
    <row r="116" spans="1:8" ht="40.5" customHeight="1">
      <c r="A116" s="101"/>
      <c r="B116" s="100"/>
      <c r="C116" s="122" t="s">
        <v>1324</v>
      </c>
      <c r="D116" s="118"/>
      <c r="E116" s="118">
        <v>0</v>
      </c>
      <c r="F116" s="118">
        <v>0</v>
      </c>
      <c r="G116" s="118">
        <v>0</v>
      </c>
      <c r="H116" s="110">
        <f t="shared" si="0"/>
        <v>0</v>
      </c>
    </row>
    <row r="117" spans="1:8" ht="40.5" customHeight="1">
      <c r="A117" s="101"/>
      <c r="B117" s="100"/>
      <c r="C117" s="122" t="s">
        <v>1325</v>
      </c>
      <c r="D117" s="112"/>
      <c r="E117" s="123">
        <v>0</v>
      </c>
      <c r="F117" s="123">
        <v>0</v>
      </c>
      <c r="G117" s="123">
        <v>0</v>
      </c>
      <c r="H117" s="110">
        <f t="shared" si="0"/>
        <v>0</v>
      </c>
    </row>
    <row r="118" spans="1:8" ht="40.5" customHeight="1">
      <c r="A118" s="101"/>
      <c r="B118" s="100"/>
      <c r="C118" s="125" t="s">
        <v>1326</v>
      </c>
      <c r="D118" s="118"/>
      <c r="E118" s="123">
        <v>0</v>
      </c>
      <c r="F118" s="123">
        <v>0</v>
      </c>
      <c r="G118" s="123">
        <v>0</v>
      </c>
      <c r="H118" s="110">
        <f t="shared" si="0"/>
        <v>0</v>
      </c>
    </row>
    <row r="119" spans="1:8" ht="40.5" customHeight="1">
      <c r="A119" s="101"/>
      <c r="B119" s="100"/>
      <c r="C119" s="122" t="s">
        <v>1327</v>
      </c>
      <c r="D119" s="112"/>
      <c r="E119" s="123">
        <v>0</v>
      </c>
      <c r="F119" s="123">
        <v>0</v>
      </c>
      <c r="G119" s="123">
        <v>0</v>
      </c>
      <c r="H119" s="110">
        <f t="shared" si="0"/>
        <v>0</v>
      </c>
    </row>
    <row r="120" spans="1:8" ht="40.5" customHeight="1">
      <c r="A120" s="101"/>
      <c r="B120" s="100"/>
      <c r="C120" s="122" t="s">
        <v>1328</v>
      </c>
      <c r="D120" s="112"/>
      <c r="E120" s="123">
        <v>0</v>
      </c>
      <c r="F120" s="123">
        <v>0</v>
      </c>
      <c r="G120" s="123">
        <v>0</v>
      </c>
      <c r="H120" s="110">
        <f t="shared" si="0"/>
        <v>0</v>
      </c>
    </row>
    <row r="121" spans="1:8" ht="40.5" customHeight="1">
      <c r="A121" s="101" t="s">
        <v>869</v>
      </c>
      <c r="B121" s="100" t="s">
        <v>870</v>
      </c>
      <c r="C121" s="120" t="s">
        <v>1322</v>
      </c>
      <c r="D121" s="109"/>
      <c r="E121" s="121">
        <f>SUM(E122:E127)</f>
        <v>57228.3</v>
      </c>
      <c r="F121" s="121">
        <f>SUM(F122:F127)</f>
        <v>57830.4</v>
      </c>
      <c r="G121" s="121">
        <f>SUM(G122:G127)</f>
        <v>58442.5</v>
      </c>
      <c r="H121" s="110">
        <f t="shared" si="0"/>
        <v>173501.2</v>
      </c>
    </row>
    <row r="122" spans="1:8" ht="40.5" customHeight="1">
      <c r="A122" s="101"/>
      <c r="B122" s="100"/>
      <c r="C122" s="122" t="s">
        <v>1323</v>
      </c>
      <c r="D122" s="112"/>
      <c r="E122" s="123">
        <f>ROUND(57228310/1000,1)</f>
        <v>57228.3</v>
      </c>
      <c r="F122" s="123">
        <f>ROUND(57830403/1000,1)</f>
        <v>57830.4</v>
      </c>
      <c r="G122" s="123">
        <f>ROUND(58442513/1000,1)</f>
        <v>58442.5</v>
      </c>
      <c r="H122" s="110">
        <f t="shared" si="0"/>
        <v>173501.2</v>
      </c>
    </row>
    <row r="123" spans="1:8" ht="40.5" customHeight="1">
      <c r="A123" s="101"/>
      <c r="B123" s="100"/>
      <c r="C123" s="122" t="s">
        <v>1324</v>
      </c>
      <c r="D123" s="118"/>
      <c r="E123" s="118">
        <v>0</v>
      </c>
      <c r="F123" s="118">
        <v>0</v>
      </c>
      <c r="G123" s="118">
        <v>0</v>
      </c>
      <c r="H123" s="110">
        <f t="shared" si="0"/>
        <v>0</v>
      </c>
    </row>
    <row r="124" spans="1:8" ht="40.5" customHeight="1">
      <c r="A124" s="101"/>
      <c r="B124" s="100"/>
      <c r="C124" s="122" t="s">
        <v>1325</v>
      </c>
      <c r="D124" s="112"/>
      <c r="E124" s="123">
        <v>0</v>
      </c>
      <c r="F124" s="123">
        <v>0</v>
      </c>
      <c r="G124" s="123">
        <v>0</v>
      </c>
      <c r="H124" s="110">
        <f t="shared" si="0"/>
        <v>0</v>
      </c>
    </row>
    <row r="125" spans="1:8" ht="40.5" customHeight="1">
      <c r="A125" s="101"/>
      <c r="B125" s="100"/>
      <c r="C125" s="125" t="s">
        <v>1326</v>
      </c>
      <c r="D125" s="118"/>
      <c r="E125" s="123">
        <v>0</v>
      </c>
      <c r="F125" s="123">
        <v>0</v>
      </c>
      <c r="G125" s="123">
        <v>0</v>
      </c>
      <c r="H125" s="110">
        <f t="shared" si="0"/>
        <v>0</v>
      </c>
    </row>
    <row r="126" spans="1:8" ht="40.5" customHeight="1">
      <c r="A126" s="101"/>
      <c r="B126" s="100"/>
      <c r="C126" s="122" t="s">
        <v>1327</v>
      </c>
      <c r="D126" s="112"/>
      <c r="E126" s="123">
        <v>0</v>
      </c>
      <c r="F126" s="123">
        <v>0</v>
      </c>
      <c r="G126" s="123">
        <v>0</v>
      </c>
      <c r="H126" s="110">
        <f t="shared" si="0"/>
        <v>0</v>
      </c>
    </row>
    <row r="127" spans="1:8" ht="40.5" customHeight="1">
      <c r="A127" s="101"/>
      <c r="B127" s="100"/>
      <c r="C127" s="122" t="s">
        <v>1328</v>
      </c>
      <c r="D127" s="112"/>
      <c r="E127" s="123">
        <v>0</v>
      </c>
      <c r="F127" s="123">
        <v>0</v>
      </c>
      <c r="G127" s="123">
        <v>0</v>
      </c>
      <c r="H127" s="110">
        <f t="shared" si="0"/>
        <v>0</v>
      </c>
    </row>
    <row r="128" spans="1:8" ht="40.5" customHeight="1">
      <c r="A128" s="101" t="s">
        <v>880</v>
      </c>
      <c r="B128" s="100" t="s">
        <v>1336</v>
      </c>
      <c r="C128" s="120" t="s">
        <v>1322</v>
      </c>
      <c r="D128" s="109"/>
      <c r="E128" s="121">
        <f>SUM(E129:E134)</f>
        <v>15239.3</v>
      </c>
      <c r="F128" s="121">
        <f>SUM(F129:F134)</f>
        <v>15239.3</v>
      </c>
      <c r="G128" s="121">
        <f>SUM(G129:G134)</f>
        <v>15239.3</v>
      </c>
      <c r="H128" s="110">
        <f t="shared" si="0"/>
        <v>45717.899999999994</v>
      </c>
    </row>
    <row r="129" spans="1:8" ht="40.5" customHeight="1">
      <c r="A129" s="101"/>
      <c r="B129" s="100"/>
      <c r="C129" s="122" t="s">
        <v>1323</v>
      </c>
      <c r="D129" s="112"/>
      <c r="E129" s="123">
        <f>ROUND(15239313/1000,1)</f>
        <v>15239.3</v>
      </c>
      <c r="F129" s="123">
        <f>ROUND(15239313/1000,1)</f>
        <v>15239.3</v>
      </c>
      <c r="G129" s="123">
        <f>ROUND(15239313/1000,1)</f>
        <v>15239.3</v>
      </c>
      <c r="H129" s="110">
        <f t="shared" si="0"/>
        <v>45717.899999999994</v>
      </c>
    </row>
    <row r="130" spans="1:8" ht="40.5" customHeight="1">
      <c r="A130" s="101"/>
      <c r="B130" s="100"/>
      <c r="C130" s="122" t="s">
        <v>1324</v>
      </c>
      <c r="D130" s="118"/>
      <c r="E130" s="118">
        <v>0</v>
      </c>
      <c r="F130" s="118">
        <v>0</v>
      </c>
      <c r="G130" s="118">
        <v>0</v>
      </c>
      <c r="H130" s="110">
        <f t="shared" si="0"/>
        <v>0</v>
      </c>
    </row>
    <row r="131" spans="1:8" ht="40.5" customHeight="1">
      <c r="A131" s="101"/>
      <c r="B131" s="100"/>
      <c r="C131" s="122" t="s">
        <v>1325</v>
      </c>
      <c r="D131" s="112"/>
      <c r="E131" s="123">
        <v>0</v>
      </c>
      <c r="F131" s="123">
        <v>0</v>
      </c>
      <c r="G131" s="123">
        <v>0</v>
      </c>
      <c r="H131" s="110">
        <f t="shared" si="0"/>
        <v>0</v>
      </c>
    </row>
    <row r="132" spans="1:8" ht="40.5" customHeight="1">
      <c r="A132" s="101"/>
      <c r="B132" s="100"/>
      <c r="C132" s="125" t="s">
        <v>1326</v>
      </c>
      <c r="D132" s="118"/>
      <c r="E132" s="123">
        <v>0</v>
      </c>
      <c r="F132" s="123">
        <v>0</v>
      </c>
      <c r="G132" s="123">
        <v>0</v>
      </c>
      <c r="H132" s="110">
        <f t="shared" si="0"/>
        <v>0</v>
      </c>
    </row>
    <row r="133" spans="1:8" ht="40.5" customHeight="1">
      <c r="A133" s="101"/>
      <c r="B133" s="100"/>
      <c r="C133" s="122" t="s">
        <v>1327</v>
      </c>
      <c r="D133" s="112"/>
      <c r="E133" s="123">
        <v>0</v>
      </c>
      <c r="F133" s="123">
        <v>0</v>
      </c>
      <c r="G133" s="123">
        <v>0</v>
      </c>
      <c r="H133" s="110">
        <f t="shared" si="0"/>
        <v>0</v>
      </c>
    </row>
    <row r="134" spans="1:8" ht="40.5" customHeight="1">
      <c r="A134" s="101"/>
      <c r="B134" s="100"/>
      <c r="C134" s="122" t="s">
        <v>1328</v>
      </c>
      <c r="D134" s="112"/>
      <c r="E134" s="123">
        <v>0</v>
      </c>
      <c r="F134" s="123">
        <v>0</v>
      </c>
      <c r="G134" s="123">
        <v>0</v>
      </c>
      <c r="H134" s="110">
        <f t="shared" si="0"/>
        <v>0</v>
      </c>
    </row>
    <row r="135" spans="1:8" ht="40.5" customHeight="1">
      <c r="A135" s="101" t="s">
        <v>885</v>
      </c>
      <c r="B135" s="126" t="s">
        <v>1337</v>
      </c>
      <c r="C135" s="120" t="s">
        <v>1322</v>
      </c>
      <c r="D135" s="109"/>
      <c r="E135" s="121">
        <f>SUM(E136:E141)</f>
        <v>521288.5</v>
      </c>
      <c r="F135" s="121">
        <f>SUM(F136:F141)</f>
        <v>526024</v>
      </c>
      <c r="G135" s="121">
        <f>SUM(G136:G141)</f>
        <v>530838.2</v>
      </c>
      <c r="H135" s="110">
        <f t="shared" si="0"/>
        <v>1578150.7</v>
      </c>
    </row>
    <row r="136" spans="1:8" ht="40.5" customHeight="1">
      <c r="A136" s="101"/>
      <c r="B136" s="126"/>
      <c r="C136" s="122" t="s">
        <v>1323</v>
      </c>
      <c r="D136" s="112"/>
      <c r="E136" s="123">
        <f>ROUND(521288464/1000,1)</f>
        <v>521288.5</v>
      </c>
      <c r="F136" s="123">
        <f>ROUND(526023957/1000,1)</f>
        <v>526024</v>
      </c>
      <c r="G136" s="123">
        <f>ROUND(530838230/1000,1)</f>
        <v>530838.2</v>
      </c>
      <c r="H136" s="110">
        <f t="shared" si="0"/>
        <v>1578150.7</v>
      </c>
    </row>
    <row r="137" spans="1:8" ht="40.5" customHeight="1">
      <c r="A137" s="101"/>
      <c r="B137" s="126"/>
      <c r="C137" s="122" t="s">
        <v>1324</v>
      </c>
      <c r="D137" s="118"/>
      <c r="E137" s="118">
        <v>0</v>
      </c>
      <c r="F137" s="118">
        <v>0</v>
      </c>
      <c r="G137" s="118">
        <v>0</v>
      </c>
      <c r="H137" s="110">
        <f t="shared" si="0"/>
        <v>0</v>
      </c>
    </row>
    <row r="138" spans="1:8" ht="40.5" customHeight="1">
      <c r="A138" s="101"/>
      <c r="B138" s="126"/>
      <c r="C138" s="122" t="s">
        <v>1325</v>
      </c>
      <c r="D138" s="112"/>
      <c r="E138" s="123">
        <v>0</v>
      </c>
      <c r="F138" s="123">
        <v>0</v>
      </c>
      <c r="G138" s="123">
        <v>0</v>
      </c>
      <c r="H138" s="110">
        <f t="shared" si="0"/>
        <v>0</v>
      </c>
    </row>
    <row r="139" spans="1:8" ht="40.5" customHeight="1">
      <c r="A139" s="101"/>
      <c r="B139" s="126"/>
      <c r="C139" s="125" t="s">
        <v>1326</v>
      </c>
      <c r="D139" s="118"/>
      <c r="E139" s="123">
        <v>0</v>
      </c>
      <c r="F139" s="123">
        <v>0</v>
      </c>
      <c r="G139" s="123">
        <v>0</v>
      </c>
      <c r="H139" s="110">
        <f t="shared" si="0"/>
        <v>0</v>
      </c>
    </row>
    <row r="140" spans="1:8" ht="40.5" customHeight="1">
      <c r="A140" s="101"/>
      <c r="B140" s="126"/>
      <c r="C140" s="122" t="s">
        <v>1327</v>
      </c>
      <c r="D140" s="112"/>
      <c r="E140" s="123">
        <v>0</v>
      </c>
      <c r="F140" s="123">
        <v>0</v>
      </c>
      <c r="G140" s="123">
        <v>0</v>
      </c>
      <c r="H140" s="110">
        <f t="shared" si="0"/>
        <v>0</v>
      </c>
    </row>
    <row r="141" spans="1:8" ht="40.5" customHeight="1">
      <c r="A141" s="101"/>
      <c r="B141" s="126"/>
      <c r="C141" s="122" t="s">
        <v>1328</v>
      </c>
      <c r="D141" s="112"/>
      <c r="E141" s="123">
        <v>0</v>
      </c>
      <c r="F141" s="123">
        <v>0</v>
      </c>
      <c r="G141" s="123">
        <v>0</v>
      </c>
      <c r="H141" s="110">
        <f t="shared" si="0"/>
        <v>0</v>
      </c>
    </row>
    <row r="142" spans="1:8" ht="40.5" customHeight="1">
      <c r="A142" s="101" t="s">
        <v>902</v>
      </c>
      <c r="B142" s="100" t="s">
        <v>903</v>
      </c>
      <c r="C142" s="120" t="s">
        <v>1322</v>
      </c>
      <c r="D142" s="109"/>
      <c r="E142" s="121">
        <f>SUM(E143:E148)</f>
        <v>2531.2</v>
      </c>
      <c r="F142" s="121">
        <f>SUM(F143:F148)</f>
        <v>2547.2</v>
      </c>
      <c r="G142" s="121">
        <f>SUM(G143:G148)</f>
        <v>2563.5</v>
      </c>
      <c r="H142" s="110">
        <f t="shared" si="0"/>
        <v>7641.9</v>
      </c>
    </row>
    <row r="143" spans="1:8" ht="40.5" customHeight="1">
      <c r="A143" s="101"/>
      <c r="B143" s="100"/>
      <c r="C143" s="122" t="s">
        <v>1323</v>
      </c>
      <c r="D143" s="112"/>
      <c r="E143" s="123">
        <f>ROUND(2531225/1000,1)</f>
        <v>2531.2</v>
      </c>
      <c r="F143" s="123">
        <f>ROUND(2547218/1000,1)</f>
        <v>2547.2</v>
      </c>
      <c r="G143" s="123">
        <f>ROUND(2563476/1000,1)</f>
        <v>2563.5</v>
      </c>
      <c r="H143" s="110">
        <f t="shared" si="0"/>
        <v>7641.9</v>
      </c>
    </row>
    <row r="144" spans="1:8" ht="40.5" customHeight="1">
      <c r="A144" s="101"/>
      <c r="B144" s="100"/>
      <c r="C144" s="122" t="s">
        <v>1324</v>
      </c>
      <c r="D144" s="118"/>
      <c r="E144" s="118">
        <v>0</v>
      </c>
      <c r="F144" s="118">
        <v>0</v>
      </c>
      <c r="G144" s="118">
        <v>0</v>
      </c>
      <c r="H144" s="110">
        <f t="shared" si="0"/>
        <v>0</v>
      </c>
    </row>
    <row r="145" spans="1:8" ht="40.5" customHeight="1">
      <c r="A145" s="101"/>
      <c r="B145" s="100"/>
      <c r="C145" s="122" t="s">
        <v>1325</v>
      </c>
      <c r="D145" s="112"/>
      <c r="E145" s="123">
        <v>0</v>
      </c>
      <c r="F145" s="123">
        <v>0</v>
      </c>
      <c r="G145" s="123">
        <v>0</v>
      </c>
      <c r="H145" s="110">
        <f t="shared" si="0"/>
        <v>0</v>
      </c>
    </row>
    <row r="146" spans="1:8" ht="40.5" customHeight="1">
      <c r="A146" s="101"/>
      <c r="B146" s="100"/>
      <c r="C146" s="125" t="s">
        <v>1326</v>
      </c>
      <c r="D146" s="118"/>
      <c r="E146" s="123">
        <v>0</v>
      </c>
      <c r="F146" s="123">
        <v>0</v>
      </c>
      <c r="G146" s="123">
        <v>0</v>
      </c>
      <c r="H146" s="110">
        <f t="shared" si="0"/>
        <v>0</v>
      </c>
    </row>
    <row r="147" spans="1:8" ht="40.5" customHeight="1">
      <c r="A147" s="101"/>
      <c r="B147" s="100"/>
      <c r="C147" s="122" t="s">
        <v>1327</v>
      </c>
      <c r="D147" s="112"/>
      <c r="E147" s="123">
        <v>0</v>
      </c>
      <c r="F147" s="123">
        <v>0</v>
      </c>
      <c r="G147" s="123">
        <v>0</v>
      </c>
      <c r="H147" s="110">
        <f t="shared" si="0"/>
        <v>0</v>
      </c>
    </row>
    <row r="148" spans="1:8" ht="40.5" customHeight="1">
      <c r="A148" s="101"/>
      <c r="B148" s="100"/>
      <c r="C148" s="122" t="s">
        <v>1328</v>
      </c>
      <c r="D148" s="112"/>
      <c r="E148" s="123">
        <v>0</v>
      </c>
      <c r="F148" s="123">
        <v>0</v>
      </c>
      <c r="G148" s="123">
        <v>0</v>
      </c>
      <c r="H148" s="110">
        <f t="shared" si="0"/>
        <v>0</v>
      </c>
    </row>
    <row r="149" spans="1:8" ht="40.5" customHeight="1">
      <c r="A149" s="101" t="s">
        <v>910</v>
      </c>
      <c r="B149" s="126" t="s">
        <v>1338</v>
      </c>
      <c r="C149" s="120" t="s">
        <v>1322</v>
      </c>
      <c r="D149" s="109"/>
      <c r="E149" s="121">
        <f>SUM(E150:E155)</f>
        <v>4303.1</v>
      </c>
      <c r="F149" s="121">
        <f>SUM(F150:F155)</f>
        <v>4303.1</v>
      </c>
      <c r="G149" s="121">
        <f>SUM(G150:G155)</f>
        <v>4303.1</v>
      </c>
      <c r="H149" s="110">
        <f t="shared" si="0"/>
        <v>12909.300000000001</v>
      </c>
    </row>
    <row r="150" spans="1:8" ht="40.5" customHeight="1">
      <c r="A150" s="101"/>
      <c r="B150" s="126"/>
      <c r="C150" s="122" t="s">
        <v>1323</v>
      </c>
      <c r="D150" s="112"/>
      <c r="E150" s="123">
        <f>ROUND(4303103/1000,1)</f>
        <v>4303.1</v>
      </c>
      <c r="F150" s="123">
        <f>ROUND(4303103/1000,1)</f>
        <v>4303.1</v>
      </c>
      <c r="G150" s="123">
        <f>ROUND(4303103/1000,1)</f>
        <v>4303.1</v>
      </c>
      <c r="H150" s="110">
        <f t="shared" si="0"/>
        <v>12909.300000000001</v>
      </c>
    </row>
    <row r="151" spans="1:8" ht="40.5" customHeight="1">
      <c r="A151" s="101"/>
      <c r="B151" s="126"/>
      <c r="C151" s="122" t="s">
        <v>1324</v>
      </c>
      <c r="D151" s="118"/>
      <c r="E151" s="118">
        <v>0</v>
      </c>
      <c r="F151" s="118">
        <v>0</v>
      </c>
      <c r="G151" s="118">
        <v>0</v>
      </c>
      <c r="H151" s="110">
        <f t="shared" si="0"/>
        <v>0</v>
      </c>
    </row>
    <row r="152" spans="1:8" ht="40.5" customHeight="1">
      <c r="A152" s="101"/>
      <c r="B152" s="126"/>
      <c r="C152" s="122" t="s">
        <v>1325</v>
      </c>
      <c r="D152" s="112"/>
      <c r="E152" s="123">
        <v>0</v>
      </c>
      <c r="F152" s="123">
        <v>0</v>
      </c>
      <c r="G152" s="123">
        <v>0</v>
      </c>
      <c r="H152" s="110">
        <f t="shared" si="0"/>
        <v>0</v>
      </c>
    </row>
    <row r="153" spans="1:8" ht="40.5" customHeight="1">
      <c r="A153" s="101"/>
      <c r="B153" s="126"/>
      <c r="C153" s="125" t="s">
        <v>1326</v>
      </c>
      <c r="D153" s="118"/>
      <c r="E153" s="123">
        <v>0</v>
      </c>
      <c r="F153" s="123">
        <v>0</v>
      </c>
      <c r="G153" s="123">
        <v>0</v>
      </c>
      <c r="H153" s="110">
        <f t="shared" si="0"/>
        <v>0</v>
      </c>
    </row>
    <row r="154" spans="1:8" ht="40.5" customHeight="1">
      <c r="A154" s="101"/>
      <c r="B154" s="126"/>
      <c r="C154" s="122" t="s">
        <v>1327</v>
      </c>
      <c r="D154" s="112"/>
      <c r="E154" s="123">
        <v>0</v>
      </c>
      <c r="F154" s="123">
        <v>0</v>
      </c>
      <c r="G154" s="123">
        <v>0</v>
      </c>
      <c r="H154" s="110">
        <f t="shared" si="0"/>
        <v>0</v>
      </c>
    </row>
    <row r="155" spans="1:8" ht="40.5" customHeight="1">
      <c r="A155" s="101"/>
      <c r="B155" s="126"/>
      <c r="C155" s="122" t="s">
        <v>1328</v>
      </c>
      <c r="D155" s="112"/>
      <c r="E155" s="123">
        <v>0</v>
      </c>
      <c r="F155" s="123">
        <v>0</v>
      </c>
      <c r="G155" s="123">
        <v>0</v>
      </c>
      <c r="H155" s="110">
        <f t="shared" si="0"/>
        <v>0</v>
      </c>
    </row>
    <row r="156" spans="1:8" ht="40.5" customHeight="1">
      <c r="A156" s="101" t="s">
        <v>913</v>
      </c>
      <c r="B156" s="100" t="s">
        <v>914</v>
      </c>
      <c r="C156" s="120" t="s">
        <v>1322</v>
      </c>
      <c r="D156" s="109"/>
      <c r="E156" s="121">
        <f>SUM(E157:E162)</f>
        <v>100000</v>
      </c>
      <c r="F156" s="121">
        <f>SUM(F157:F162)</f>
        <v>100000</v>
      </c>
      <c r="G156" s="121">
        <f>SUM(G157:G162)</f>
        <v>24177.7</v>
      </c>
      <c r="H156" s="110">
        <f t="shared" si="0"/>
        <v>224177.7</v>
      </c>
    </row>
    <row r="157" spans="1:8" ht="40.5" customHeight="1">
      <c r="A157" s="101"/>
      <c r="B157" s="100"/>
      <c r="C157" s="122" t="s">
        <v>1323</v>
      </c>
      <c r="D157" s="112"/>
      <c r="E157" s="123">
        <f>'[1]Таблица 7а'!$J$48</f>
        <v>100000</v>
      </c>
      <c r="F157" s="123">
        <f>'[1]Таблица 7а'!$K$48</f>
        <v>100000</v>
      </c>
      <c r="G157" s="123">
        <f>'[1]Таблица 7а'!$L$48</f>
        <v>24177.7</v>
      </c>
      <c r="H157" s="110">
        <f t="shared" si="0"/>
        <v>224177.7</v>
      </c>
    </row>
    <row r="158" spans="1:8" ht="40.5" customHeight="1">
      <c r="A158" s="101"/>
      <c r="B158" s="100"/>
      <c r="C158" s="122" t="s">
        <v>1324</v>
      </c>
      <c r="D158" s="118"/>
      <c r="E158" s="118">
        <v>0</v>
      </c>
      <c r="F158" s="118">
        <v>0</v>
      </c>
      <c r="G158" s="118">
        <v>0</v>
      </c>
      <c r="H158" s="110">
        <f t="shared" si="0"/>
        <v>0</v>
      </c>
    </row>
    <row r="159" spans="1:8" ht="40.5" customHeight="1">
      <c r="A159" s="101"/>
      <c r="B159" s="100"/>
      <c r="C159" s="122" t="s">
        <v>1325</v>
      </c>
      <c r="D159" s="112"/>
      <c r="E159" s="123">
        <v>0</v>
      </c>
      <c r="F159" s="123">
        <v>0</v>
      </c>
      <c r="G159" s="123">
        <v>0</v>
      </c>
      <c r="H159" s="110">
        <f t="shared" si="0"/>
        <v>0</v>
      </c>
    </row>
    <row r="160" spans="1:8" ht="40.5" customHeight="1">
      <c r="A160" s="101"/>
      <c r="B160" s="100"/>
      <c r="C160" s="125" t="s">
        <v>1326</v>
      </c>
      <c r="D160" s="118"/>
      <c r="E160" s="123">
        <v>0</v>
      </c>
      <c r="F160" s="123">
        <v>0</v>
      </c>
      <c r="G160" s="123">
        <v>0</v>
      </c>
      <c r="H160" s="110">
        <f t="shared" si="0"/>
        <v>0</v>
      </c>
    </row>
    <row r="161" spans="1:8" ht="40.5" customHeight="1">
      <c r="A161" s="101"/>
      <c r="B161" s="100"/>
      <c r="C161" s="122" t="s">
        <v>1327</v>
      </c>
      <c r="D161" s="112"/>
      <c r="E161" s="123">
        <v>0</v>
      </c>
      <c r="F161" s="123">
        <v>0</v>
      </c>
      <c r="G161" s="123">
        <v>0</v>
      </c>
      <c r="H161" s="110">
        <f t="shared" si="0"/>
        <v>0</v>
      </c>
    </row>
    <row r="162" spans="1:8" ht="40.5" customHeight="1">
      <c r="A162" s="101"/>
      <c r="B162" s="100"/>
      <c r="C162" s="122" t="s">
        <v>1328</v>
      </c>
      <c r="D162" s="112"/>
      <c r="E162" s="123">
        <v>0</v>
      </c>
      <c r="F162" s="123">
        <v>0</v>
      </c>
      <c r="G162" s="123">
        <v>0</v>
      </c>
      <c r="H162" s="110">
        <f t="shared" si="0"/>
        <v>0</v>
      </c>
    </row>
    <row r="163" spans="1:8" ht="40.5" customHeight="1">
      <c r="A163" s="101" t="s">
        <v>919</v>
      </c>
      <c r="B163" s="126" t="s">
        <v>1339</v>
      </c>
      <c r="C163" s="120" t="s">
        <v>1322</v>
      </c>
      <c r="D163" s="109"/>
      <c r="E163" s="121">
        <f>SUM(E164:E169)</f>
        <v>3833.5</v>
      </c>
      <c r="F163" s="121">
        <f>SUM(F164:F169)</f>
        <v>3833.5</v>
      </c>
      <c r="G163" s="121">
        <f>SUM(G164:G169)</f>
        <v>3833.5</v>
      </c>
      <c r="H163" s="110">
        <f t="shared" si="0"/>
        <v>11500.5</v>
      </c>
    </row>
    <row r="164" spans="1:8" ht="40.5" customHeight="1">
      <c r="A164" s="101"/>
      <c r="B164" s="126"/>
      <c r="C164" s="122" t="s">
        <v>1323</v>
      </c>
      <c r="D164" s="112"/>
      <c r="E164" s="123">
        <f>ROUND(3833475/1000,1)</f>
        <v>3833.5</v>
      </c>
      <c r="F164" s="123">
        <f>ROUND(3833475/1000,1)</f>
        <v>3833.5</v>
      </c>
      <c r="G164" s="123">
        <f>ROUND(3833475/1000,1)</f>
        <v>3833.5</v>
      </c>
      <c r="H164" s="110">
        <f t="shared" si="0"/>
        <v>11500.5</v>
      </c>
    </row>
    <row r="165" spans="1:8" ht="40.5" customHeight="1">
      <c r="A165" s="101"/>
      <c r="B165" s="126"/>
      <c r="C165" s="122" t="s">
        <v>1324</v>
      </c>
      <c r="D165" s="118"/>
      <c r="E165" s="118">
        <v>0</v>
      </c>
      <c r="F165" s="118">
        <v>0</v>
      </c>
      <c r="G165" s="118">
        <v>0</v>
      </c>
      <c r="H165" s="110">
        <f t="shared" si="0"/>
        <v>0</v>
      </c>
    </row>
    <row r="166" spans="1:8" ht="61.5" customHeight="1">
      <c r="A166" s="101"/>
      <c r="B166" s="126"/>
      <c r="C166" s="122" t="s">
        <v>1325</v>
      </c>
      <c r="D166" s="112"/>
      <c r="E166" s="123">
        <v>0</v>
      </c>
      <c r="F166" s="123">
        <v>0</v>
      </c>
      <c r="G166" s="123">
        <v>0</v>
      </c>
      <c r="H166" s="110">
        <f t="shared" si="0"/>
        <v>0</v>
      </c>
    </row>
    <row r="167" spans="1:8" ht="40.5" customHeight="1">
      <c r="A167" s="101"/>
      <c r="B167" s="126"/>
      <c r="C167" s="125" t="s">
        <v>1326</v>
      </c>
      <c r="D167" s="118"/>
      <c r="E167" s="123">
        <v>0</v>
      </c>
      <c r="F167" s="123">
        <v>0</v>
      </c>
      <c r="G167" s="123">
        <v>0</v>
      </c>
      <c r="H167" s="110">
        <f t="shared" si="0"/>
        <v>0</v>
      </c>
    </row>
    <row r="168" spans="1:8" ht="40.5" customHeight="1">
      <c r="A168" s="101"/>
      <c r="B168" s="126"/>
      <c r="C168" s="122" t="s">
        <v>1327</v>
      </c>
      <c r="D168" s="112"/>
      <c r="E168" s="123">
        <v>0</v>
      </c>
      <c r="F168" s="123">
        <v>0</v>
      </c>
      <c r="G168" s="123">
        <v>0</v>
      </c>
      <c r="H168" s="110">
        <f t="shared" si="0"/>
        <v>0</v>
      </c>
    </row>
    <row r="169" spans="1:8" ht="40.5" customHeight="1">
      <c r="A169" s="101"/>
      <c r="B169" s="126"/>
      <c r="C169" s="122" t="s">
        <v>1328</v>
      </c>
      <c r="D169" s="112"/>
      <c r="E169" s="123">
        <v>0</v>
      </c>
      <c r="F169" s="123">
        <v>0</v>
      </c>
      <c r="G169" s="123">
        <v>0</v>
      </c>
      <c r="H169" s="110">
        <f t="shared" si="0"/>
        <v>0</v>
      </c>
    </row>
    <row r="170" spans="1:8" ht="40.5" customHeight="1">
      <c r="A170" s="101" t="s">
        <v>923</v>
      </c>
      <c r="B170" s="128" t="s">
        <v>924</v>
      </c>
      <c r="C170" s="120" t="s">
        <v>1322</v>
      </c>
      <c r="D170" s="109"/>
      <c r="E170" s="121">
        <f>SUM(E171:E176)</f>
        <v>136515.8</v>
      </c>
      <c r="F170" s="121">
        <f>SUM(F171:F176)</f>
        <v>142620.3</v>
      </c>
      <c r="G170" s="121">
        <f>SUM(G171:G176)</f>
        <v>148826.5</v>
      </c>
      <c r="H170" s="110">
        <f t="shared" si="0"/>
        <v>427962.6</v>
      </c>
    </row>
    <row r="171" spans="1:8" ht="40.5" customHeight="1">
      <c r="A171" s="101"/>
      <c r="B171" s="128"/>
      <c r="C171" s="122" t="s">
        <v>1323</v>
      </c>
      <c r="D171" s="112"/>
      <c r="E171" s="123">
        <f>ROUND(136515759/1000,1)</f>
        <v>136515.8</v>
      </c>
      <c r="F171" s="123">
        <f>ROUND(142620340/1000,1)</f>
        <v>142620.3</v>
      </c>
      <c r="G171" s="123">
        <f>ROUND(148826478/1000,1)</f>
        <v>148826.5</v>
      </c>
      <c r="H171" s="110">
        <f t="shared" si="0"/>
        <v>427962.6</v>
      </c>
    </row>
    <row r="172" spans="1:8" ht="40.5" customHeight="1">
      <c r="A172" s="101"/>
      <c r="B172" s="128"/>
      <c r="C172" s="122" t="s">
        <v>1324</v>
      </c>
      <c r="D172" s="118"/>
      <c r="E172" s="118">
        <v>0</v>
      </c>
      <c r="F172" s="118">
        <v>0</v>
      </c>
      <c r="G172" s="118">
        <v>0</v>
      </c>
      <c r="H172" s="110">
        <f t="shared" si="0"/>
        <v>0</v>
      </c>
    </row>
    <row r="173" spans="1:8" ht="40.5" customHeight="1">
      <c r="A173" s="101"/>
      <c r="B173" s="128"/>
      <c r="C173" s="122" t="s">
        <v>1325</v>
      </c>
      <c r="D173" s="112"/>
      <c r="E173" s="123">
        <v>0</v>
      </c>
      <c r="F173" s="123">
        <v>0</v>
      </c>
      <c r="G173" s="123">
        <v>0</v>
      </c>
      <c r="H173" s="110">
        <f t="shared" si="0"/>
        <v>0</v>
      </c>
    </row>
    <row r="174" spans="1:8" ht="40.5" customHeight="1">
      <c r="A174" s="101"/>
      <c r="B174" s="128"/>
      <c r="C174" s="125" t="s">
        <v>1326</v>
      </c>
      <c r="D174" s="118"/>
      <c r="E174" s="123">
        <v>0</v>
      </c>
      <c r="F174" s="123">
        <v>0</v>
      </c>
      <c r="G174" s="123">
        <v>0</v>
      </c>
      <c r="H174" s="110">
        <f t="shared" si="0"/>
        <v>0</v>
      </c>
    </row>
    <row r="175" spans="1:8" ht="40.5" customHeight="1">
      <c r="A175" s="101"/>
      <c r="B175" s="128"/>
      <c r="C175" s="122" t="s">
        <v>1327</v>
      </c>
      <c r="D175" s="112"/>
      <c r="E175" s="123">
        <v>0</v>
      </c>
      <c r="F175" s="123">
        <v>0</v>
      </c>
      <c r="G175" s="123">
        <v>0</v>
      </c>
      <c r="H175" s="110">
        <f t="shared" si="0"/>
        <v>0</v>
      </c>
    </row>
    <row r="176" spans="1:8" ht="40.5" customHeight="1">
      <c r="A176" s="101"/>
      <c r="B176" s="128"/>
      <c r="C176" s="122" t="s">
        <v>1328</v>
      </c>
      <c r="D176" s="112"/>
      <c r="E176" s="123">
        <v>0</v>
      </c>
      <c r="F176" s="123">
        <v>0</v>
      </c>
      <c r="G176" s="123">
        <v>0</v>
      </c>
      <c r="H176" s="110">
        <f t="shared" si="0"/>
        <v>0</v>
      </c>
    </row>
    <row r="177" spans="1:8" ht="40.5" customHeight="1">
      <c r="A177" s="101" t="s">
        <v>926</v>
      </c>
      <c r="B177" s="100" t="s">
        <v>1340</v>
      </c>
      <c r="C177" s="120" t="s">
        <v>1322</v>
      </c>
      <c r="D177" s="109"/>
      <c r="E177" s="121">
        <f>SUM(E178:E183)</f>
        <v>31521.1</v>
      </c>
      <c r="F177" s="121">
        <f>SUM(F178:F183)</f>
        <v>31705.8</v>
      </c>
      <c r="G177" s="121">
        <f>SUM(G178:G183)</f>
        <v>32400.8</v>
      </c>
      <c r="H177" s="110">
        <f t="shared" si="0"/>
        <v>95627.7</v>
      </c>
    </row>
    <row r="178" spans="1:8" ht="40.5" customHeight="1">
      <c r="A178" s="101"/>
      <c r="B178" s="100"/>
      <c r="C178" s="122" t="s">
        <v>1323</v>
      </c>
      <c r="D178" s="112"/>
      <c r="E178" s="123">
        <f>ROUND(33021061/1000,1)-1500</f>
        <v>31521.1</v>
      </c>
      <c r="F178" s="123">
        <f>ROUND(31705761/1000,1)</f>
        <v>31705.8</v>
      </c>
      <c r="G178" s="123">
        <f>ROUND(32400761/1000,1)</f>
        <v>32400.8</v>
      </c>
      <c r="H178" s="110">
        <f t="shared" si="0"/>
        <v>95627.7</v>
      </c>
    </row>
    <row r="179" spans="1:8" ht="40.5" customHeight="1">
      <c r="A179" s="101"/>
      <c r="B179" s="100"/>
      <c r="C179" s="122" t="s">
        <v>1324</v>
      </c>
      <c r="D179" s="118"/>
      <c r="E179" s="118">
        <v>0</v>
      </c>
      <c r="F179" s="118">
        <v>0</v>
      </c>
      <c r="G179" s="118">
        <v>0</v>
      </c>
      <c r="H179" s="110">
        <f t="shared" si="0"/>
        <v>0</v>
      </c>
    </row>
    <row r="180" spans="1:8" ht="40.5" customHeight="1">
      <c r="A180" s="101"/>
      <c r="B180" s="100"/>
      <c r="C180" s="122" t="s">
        <v>1325</v>
      </c>
      <c r="D180" s="112"/>
      <c r="E180" s="123">
        <v>0</v>
      </c>
      <c r="F180" s="123">
        <v>0</v>
      </c>
      <c r="G180" s="123">
        <v>0</v>
      </c>
      <c r="H180" s="110">
        <f t="shared" si="0"/>
        <v>0</v>
      </c>
    </row>
    <row r="181" spans="1:8" ht="40.5" customHeight="1">
      <c r="A181" s="101"/>
      <c r="B181" s="100"/>
      <c r="C181" s="125" t="s">
        <v>1326</v>
      </c>
      <c r="D181" s="118"/>
      <c r="E181" s="123">
        <v>0</v>
      </c>
      <c r="F181" s="123">
        <v>0</v>
      </c>
      <c r="G181" s="123">
        <v>0</v>
      </c>
      <c r="H181" s="110">
        <f t="shared" si="0"/>
        <v>0</v>
      </c>
    </row>
    <row r="182" spans="1:8" ht="40.5" customHeight="1">
      <c r="A182" s="101"/>
      <c r="B182" s="100"/>
      <c r="C182" s="122" t="s">
        <v>1327</v>
      </c>
      <c r="D182" s="112"/>
      <c r="E182" s="123">
        <v>0</v>
      </c>
      <c r="F182" s="123">
        <v>0</v>
      </c>
      <c r="G182" s="123">
        <v>0</v>
      </c>
      <c r="H182" s="110">
        <f t="shared" si="0"/>
        <v>0</v>
      </c>
    </row>
    <row r="183" spans="1:8" ht="40.5" customHeight="1">
      <c r="A183" s="101"/>
      <c r="B183" s="100"/>
      <c r="C183" s="122" t="s">
        <v>1328</v>
      </c>
      <c r="D183" s="112"/>
      <c r="E183" s="123">
        <v>0</v>
      </c>
      <c r="F183" s="123">
        <v>0</v>
      </c>
      <c r="G183" s="123">
        <v>0</v>
      </c>
      <c r="H183" s="110">
        <f t="shared" si="0"/>
        <v>0</v>
      </c>
    </row>
    <row r="184" spans="1:8" ht="40.5" customHeight="1">
      <c r="A184" s="101" t="s">
        <v>932</v>
      </c>
      <c r="B184" s="128" t="s">
        <v>933</v>
      </c>
      <c r="C184" s="120" t="s">
        <v>1322</v>
      </c>
      <c r="D184" s="109"/>
      <c r="E184" s="121">
        <f>SUM(E185:E190)</f>
        <v>600</v>
      </c>
      <c r="F184" s="121">
        <f>SUM(F185:F190)</f>
        <v>1900</v>
      </c>
      <c r="G184" s="121">
        <f>SUM(G185:G190)</f>
        <v>1900</v>
      </c>
      <c r="H184" s="110">
        <f t="shared" si="0"/>
        <v>4400</v>
      </c>
    </row>
    <row r="185" spans="1:8" ht="40.5" customHeight="1">
      <c r="A185" s="101"/>
      <c r="B185" s="128"/>
      <c r="C185" s="122" t="s">
        <v>1323</v>
      </c>
      <c r="D185" s="112"/>
      <c r="E185" s="123">
        <f>ROUND(600000/1000,1)</f>
        <v>600</v>
      </c>
      <c r="F185" s="123">
        <f>ROUND(1900000/1000,1)</f>
        <v>1900</v>
      </c>
      <c r="G185" s="123">
        <f>ROUND(1900000/1000,1)</f>
        <v>1900</v>
      </c>
      <c r="H185" s="110">
        <f t="shared" si="0"/>
        <v>4400</v>
      </c>
    </row>
    <row r="186" spans="1:8" ht="40.5" customHeight="1">
      <c r="A186" s="101"/>
      <c r="B186" s="128"/>
      <c r="C186" s="122" t="s">
        <v>1324</v>
      </c>
      <c r="D186" s="118"/>
      <c r="E186" s="118">
        <v>0</v>
      </c>
      <c r="F186" s="118">
        <v>0</v>
      </c>
      <c r="G186" s="118">
        <v>0</v>
      </c>
      <c r="H186" s="110">
        <f t="shared" si="0"/>
        <v>0</v>
      </c>
    </row>
    <row r="187" spans="1:8" ht="40.5" customHeight="1">
      <c r="A187" s="101"/>
      <c r="B187" s="128"/>
      <c r="C187" s="122" t="s">
        <v>1325</v>
      </c>
      <c r="D187" s="112"/>
      <c r="E187" s="123">
        <v>0</v>
      </c>
      <c r="F187" s="123">
        <v>0</v>
      </c>
      <c r="G187" s="123">
        <v>0</v>
      </c>
      <c r="H187" s="110">
        <f t="shared" si="0"/>
        <v>0</v>
      </c>
    </row>
    <row r="188" spans="1:8" ht="40.5" customHeight="1">
      <c r="A188" s="101"/>
      <c r="B188" s="128"/>
      <c r="C188" s="125" t="s">
        <v>1326</v>
      </c>
      <c r="D188" s="118"/>
      <c r="E188" s="123">
        <v>0</v>
      </c>
      <c r="F188" s="123">
        <v>0</v>
      </c>
      <c r="G188" s="123">
        <v>0</v>
      </c>
      <c r="H188" s="110">
        <f t="shared" si="0"/>
        <v>0</v>
      </c>
    </row>
    <row r="189" spans="1:8" ht="40.5" customHeight="1">
      <c r="A189" s="101"/>
      <c r="B189" s="128"/>
      <c r="C189" s="122" t="s">
        <v>1327</v>
      </c>
      <c r="D189" s="112"/>
      <c r="E189" s="123">
        <v>0</v>
      </c>
      <c r="F189" s="123">
        <v>0</v>
      </c>
      <c r="G189" s="123">
        <v>0</v>
      </c>
      <c r="H189" s="110">
        <f t="shared" si="0"/>
        <v>0</v>
      </c>
    </row>
    <row r="190" spans="1:8" ht="40.5" customHeight="1">
      <c r="A190" s="101"/>
      <c r="B190" s="128"/>
      <c r="C190" s="122" t="s">
        <v>1328</v>
      </c>
      <c r="D190" s="112"/>
      <c r="E190" s="123">
        <v>0</v>
      </c>
      <c r="F190" s="123">
        <v>0</v>
      </c>
      <c r="G190" s="123">
        <v>0</v>
      </c>
      <c r="H190" s="110">
        <f t="shared" si="0"/>
        <v>0</v>
      </c>
    </row>
    <row r="191" spans="1:8" ht="40.5" customHeight="1">
      <c r="A191" s="101" t="s">
        <v>937</v>
      </c>
      <c r="B191" s="126" t="s">
        <v>1341</v>
      </c>
      <c r="C191" s="120" t="s">
        <v>1322</v>
      </c>
      <c r="D191" s="109"/>
      <c r="E191" s="121">
        <f>SUM(E192:E197)</f>
        <v>2198.3</v>
      </c>
      <c r="F191" s="121">
        <f>SUM(F192:F197)</f>
        <v>921.8</v>
      </c>
      <c r="G191" s="121">
        <f>SUM(G192:G197)</f>
        <v>945.6</v>
      </c>
      <c r="H191" s="110">
        <f t="shared" si="0"/>
        <v>4065.7000000000003</v>
      </c>
    </row>
    <row r="192" spans="1:8" ht="40.5" customHeight="1">
      <c r="A192" s="101"/>
      <c r="B192" s="126"/>
      <c r="C192" s="122" t="s">
        <v>1323</v>
      </c>
      <c r="D192" s="112"/>
      <c r="E192" s="123">
        <f>ROUND(2198295/1000,1)</f>
        <v>2198.3</v>
      </c>
      <c r="F192" s="123">
        <f>ROUND(921774/1000,1)</f>
        <v>921.8</v>
      </c>
      <c r="G192" s="123">
        <f>ROUND(945644/1000,1)</f>
        <v>945.6</v>
      </c>
      <c r="H192" s="110">
        <f t="shared" si="0"/>
        <v>4065.7000000000003</v>
      </c>
    </row>
    <row r="193" spans="1:8" ht="40.5" customHeight="1">
      <c r="A193" s="101"/>
      <c r="B193" s="126"/>
      <c r="C193" s="122" t="s">
        <v>1324</v>
      </c>
      <c r="D193" s="118"/>
      <c r="E193" s="118">
        <v>0</v>
      </c>
      <c r="F193" s="118">
        <v>0</v>
      </c>
      <c r="G193" s="118">
        <v>0</v>
      </c>
      <c r="H193" s="110">
        <f t="shared" si="0"/>
        <v>0</v>
      </c>
    </row>
    <row r="194" spans="1:8" ht="40.5" customHeight="1">
      <c r="A194" s="101"/>
      <c r="B194" s="126"/>
      <c r="C194" s="122" t="s">
        <v>1325</v>
      </c>
      <c r="D194" s="112"/>
      <c r="E194" s="123">
        <v>0</v>
      </c>
      <c r="F194" s="123">
        <v>0</v>
      </c>
      <c r="G194" s="123">
        <v>0</v>
      </c>
      <c r="H194" s="110">
        <f t="shared" si="0"/>
        <v>0</v>
      </c>
    </row>
    <row r="195" spans="1:8" ht="40.5" customHeight="1">
      <c r="A195" s="101"/>
      <c r="B195" s="126"/>
      <c r="C195" s="125" t="s">
        <v>1326</v>
      </c>
      <c r="D195" s="118"/>
      <c r="E195" s="123">
        <v>0</v>
      </c>
      <c r="F195" s="123">
        <v>0</v>
      </c>
      <c r="G195" s="123">
        <v>0</v>
      </c>
      <c r="H195" s="110">
        <f t="shared" si="0"/>
        <v>0</v>
      </c>
    </row>
    <row r="196" spans="1:8" ht="40.5" customHeight="1">
      <c r="A196" s="101"/>
      <c r="B196" s="126"/>
      <c r="C196" s="122" t="s">
        <v>1327</v>
      </c>
      <c r="D196" s="112"/>
      <c r="E196" s="123">
        <v>0</v>
      </c>
      <c r="F196" s="123">
        <v>0</v>
      </c>
      <c r="G196" s="123">
        <v>0</v>
      </c>
      <c r="H196" s="110">
        <f t="shared" si="0"/>
        <v>0</v>
      </c>
    </row>
    <row r="197" spans="1:8" ht="40.5" customHeight="1">
      <c r="A197" s="101"/>
      <c r="B197" s="126"/>
      <c r="C197" s="122" t="s">
        <v>1328</v>
      </c>
      <c r="D197" s="112"/>
      <c r="E197" s="123">
        <v>0</v>
      </c>
      <c r="F197" s="123">
        <v>0</v>
      </c>
      <c r="G197" s="123">
        <v>0</v>
      </c>
      <c r="H197" s="110">
        <f t="shared" si="0"/>
        <v>0</v>
      </c>
    </row>
    <row r="198" spans="1:8" ht="40.5" customHeight="1">
      <c r="A198" s="101" t="s">
        <v>940</v>
      </c>
      <c r="B198" s="126" t="s">
        <v>941</v>
      </c>
      <c r="C198" s="120" t="s">
        <v>1322</v>
      </c>
      <c r="D198" s="109"/>
      <c r="E198" s="121">
        <f>SUM(E199:E204)</f>
        <v>136219.4</v>
      </c>
      <c r="F198" s="121">
        <f>SUM(F199:F204)</f>
        <v>137148.7</v>
      </c>
      <c r="G198" s="121">
        <f>SUM(G199:G204)</f>
        <v>138093.5</v>
      </c>
      <c r="H198" s="110">
        <f t="shared" si="0"/>
        <v>411461.6</v>
      </c>
    </row>
    <row r="199" spans="1:8" ht="40.5" customHeight="1">
      <c r="A199" s="101"/>
      <c r="B199" s="126"/>
      <c r="C199" s="122" t="s">
        <v>1323</v>
      </c>
      <c r="D199" s="112"/>
      <c r="E199" s="123">
        <v>136219.4</v>
      </c>
      <c r="F199" s="123">
        <v>137148.7</v>
      </c>
      <c r="G199" s="123">
        <v>138093.5</v>
      </c>
      <c r="H199" s="110">
        <f t="shared" si="0"/>
        <v>411461.6</v>
      </c>
    </row>
    <row r="200" spans="1:8" ht="40.5" customHeight="1">
      <c r="A200" s="101"/>
      <c r="B200" s="126"/>
      <c r="C200" s="122" t="s">
        <v>1324</v>
      </c>
      <c r="D200" s="118"/>
      <c r="E200" s="118">
        <v>0</v>
      </c>
      <c r="F200" s="118">
        <v>0</v>
      </c>
      <c r="G200" s="118">
        <v>0</v>
      </c>
      <c r="H200" s="110">
        <f t="shared" si="0"/>
        <v>0</v>
      </c>
    </row>
    <row r="201" spans="1:8" ht="40.5" customHeight="1">
      <c r="A201" s="101"/>
      <c r="B201" s="126"/>
      <c r="C201" s="122" t="s">
        <v>1325</v>
      </c>
      <c r="D201" s="112"/>
      <c r="E201" s="123">
        <v>0</v>
      </c>
      <c r="F201" s="123">
        <v>0</v>
      </c>
      <c r="G201" s="123">
        <v>0</v>
      </c>
      <c r="H201" s="110">
        <f t="shared" si="0"/>
        <v>0</v>
      </c>
    </row>
    <row r="202" spans="1:8" ht="40.5" customHeight="1">
      <c r="A202" s="101"/>
      <c r="B202" s="126"/>
      <c r="C202" s="125" t="s">
        <v>1326</v>
      </c>
      <c r="D202" s="118"/>
      <c r="E202" s="123">
        <v>0</v>
      </c>
      <c r="F202" s="123">
        <v>0</v>
      </c>
      <c r="G202" s="123">
        <v>0</v>
      </c>
      <c r="H202" s="110">
        <f t="shared" si="0"/>
        <v>0</v>
      </c>
    </row>
    <row r="203" spans="1:8" ht="40.5" customHeight="1">
      <c r="A203" s="101"/>
      <c r="B203" s="126"/>
      <c r="C203" s="122" t="s">
        <v>1327</v>
      </c>
      <c r="D203" s="112"/>
      <c r="E203" s="123">
        <v>0</v>
      </c>
      <c r="F203" s="123">
        <v>0</v>
      </c>
      <c r="G203" s="123">
        <v>0</v>
      </c>
      <c r="H203" s="110">
        <f t="shared" si="0"/>
        <v>0</v>
      </c>
    </row>
    <row r="204" spans="1:8" ht="40.5" customHeight="1">
      <c r="A204" s="101"/>
      <c r="B204" s="126"/>
      <c r="C204" s="122" t="s">
        <v>1328</v>
      </c>
      <c r="D204" s="112"/>
      <c r="E204" s="123">
        <v>0</v>
      </c>
      <c r="F204" s="123">
        <v>0</v>
      </c>
      <c r="G204" s="123">
        <v>0</v>
      </c>
      <c r="H204" s="110">
        <f t="shared" si="0"/>
        <v>0</v>
      </c>
    </row>
    <row r="205" spans="1:8" ht="40.5" customHeight="1">
      <c r="A205" s="101" t="s">
        <v>947</v>
      </c>
      <c r="B205" s="100" t="s">
        <v>948</v>
      </c>
      <c r="C205" s="120" t="s">
        <v>1322</v>
      </c>
      <c r="D205" s="109"/>
      <c r="E205" s="121">
        <f>SUM(E206:E211)</f>
        <v>117447.1</v>
      </c>
      <c r="F205" s="121">
        <f>SUM(F206:F211)</f>
        <v>117297.1</v>
      </c>
      <c r="G205" s="121">
        <f>SUM(G206:G211)</f>
        <v>117297.1</v>
      </c>
      <c r="H205" s="110">
        <f t="shared" si="0"/>
        <v>352041.30000000005</v>
      </c>
    </row>
    <row r="206" spans="1:8" ht="40.5" customHeight="1">
      <c r="A206" s="101"/>
      <c r="B206" s="100"/>
      <c r="C206" s="122" t="s">
        <v>1323</v>
      </c>
      <c r="D206" s="112"/>
      <c r="E206" s="123">
        <f>ROUND(117447084/1000,1)</f>
        <v>117447.1</v>
      </c>
      <c r="F206" s="123">
        <f>ROUND(117297084/1000,1)</f>
        <v>117297.1</v>
      </c>
      <c r="G206" s="123">
        <f>ROUND(117297084/1000,1)</f>
        <v>117297.1</v>
      </c>
      <c r="H206" s="110">
        <f t="shared" si="0"/>
        <v>352041.30000000005</v>
      </c>
    </row>
    <row r="207" spans="1:8" ht="40.5" customHeight="1">
      <c r="A207" s="101"/>
      <c r="B207" s="100"/>
      <c r="C207" s="122" t="s">
        <v>1324</v>
      </c>
      <c r="D207" s="118"/>
      <c r="E207" s="118">
        <v>0</v>
      </c>
      <c r="F207" s="118">
        <v>0</v>
      </c>
      <c r="G207" s="118">
        <v>0</v>
      </c>
      <c r="H207" s="110">
        <f t="shared" si="0"/>
        <v>0</v>
      </c>
    </row>
    <row r="208" spans="1:8" ht="40.5" customHeight="1">
      <c r="A208" s="101"/>
      <c r="B208" s="100"/>
      <c r="C208" s="122" t="s">
        <v>1325</v>
      </c>
      <c r="D208" s="112"/>
      <c r="E208" s="123">
        <v>0</v>
      </c>
      <c r="F208" s="123">
        <v>0</v>
      </c>
      <c r="G208" s="123">
        <v>0</v>
      </c>
      <c r="H208" s="110">
        <f t="shared" si="0"/>
        <v>0</v>
      </c>
    </row>
    <row r="209" spans="1:8" ht="40.5" customHeight="1">
      <c r="A209" s="101"/>
      <c r="B209" s="100"/>
      <c r="C209" s="125" t="s">
        <v>1326</v>
      </c>
      <c r="D209" s="118"/>
      <c r="E209" s="123">
        <v>0</v>
      </c>
      <c r="F209" s="123">
        <v>0</v>
      </c>
      <c r="G209" s="123">
        <v>0</v>
      </c>
      <c r="H209" s="110">
        <f t="shared" si="0"/>
        <v>0</v>
      </c>
    </row>
    <row r="210" spans="1:8" ht="40.5" customHeight="1">
      <c r="A210" s="101"/>
      <c r="B210" s="100"/>
      <c r="C210" s="122" t="s">
        <v>1327</v>
      </c>
      <c r="D210" s="112"/>
      <c r="E210" s="123">
        <v>0</v>
      </c>
      <c r="F210" s="123">
        <v>0</v>
      </c>
      <c r="G210" s="123">
        <v>0</v>
      </c>
      <c r="H210" s="110">
        <f t="shared" si="0"/>
        <v>0</v>
      </c>
    </row>
    <row r="211" spans="1:8" ht="40.5" customHeight="1">
      <c r="A211" s="101"/>
      <c r="B211" s="100"/>
      <c r="C211" s="122" t="s">
        <v>1328</v>
      </c>
      <c r="D211" s="112"/>
      <c r="E211" s="123">
        <v>0</v>
      </c>
      <c r="F211" s="123">
        <v>0</v>
      </c>
      <c r="G211" s="123">
        <v>0</v>
      </c>
      <c r="H211" s="110">
        <f t="shared" si="0"/>
        <v>0</v>
      </c>
    </row>
    <row r="212" spans="1:8" ht="40.5" customHeight="1">
      <c r="A212" s="101" t="s">
        <v>952</v>
      </c>
      <c r="B212" s="100" t="s">
        <v>914</v>
      </c>
      <c r="C212" s="120" t="s">
        <v>1322</v>
      </c>
      <c r="D212" s="109"/>
      <c r="E212" s="121">
        <f>SUM(E213:E218)</f>
        <v>127618</v>
      </c>
      <c r="F212" s="121">
        <f>SUM(F213:F218)</f>
        <v>799500</v>
      </c>
      <c r="G212" s="121">
        <f>SUM(G213:G218)</f>
        <v>704070</v>
      </c>
      <c r="H212" s="110">
        <f t="shared" si="0"/>
        <v>1631188</v>
      </c>
    </row>
    <row r="213" spans="1:8" ht="40.5" customHeight="1">
      <c r="A213" s="101"/>
      <c r="B213" s="100"/>
      <c r="C213" s="122" t="s">
        <v>1323</v>
      </c>
      <c r="D213" s="112"/>
      <c r="E213" s="123">
        <f>'[1]Таблица 7а'!$J$53+'[1]Таблица 7а'!$J$57+'[1]Таблица 7а'!$J$61</f>
        <v>127618</v>
      </c>
      <c r="F213" s="123">
        <f>'[1]Таблица 7а'!$K$53+'[1]Таблица 7а'!$K$57+'[1]Таблица 7а'!$K$61</f>
        <v>799500</v>
      </c>
      <c r="G213" s="123">
        <f>'[1]Таблица 7а'!$L$53+'[1]Таблица 7а'!$L$57+'[1]Таблица 7а'!$L$61</f>
        <v>704070</v>
      </c>
      <c r="H213" s="110">
        <f t="shared" si="0"/>
        <v>1631188</v>
      </c>
    </row>
    <row r="214" spans="1:8" ht="75" customHeight="1">
      <c r="A214" s="101"/>
      <c r="B214" s="100"/>
      <c r="C214" s="122" t="s">
        <v>1324</v>
      </c>
      <c r="D214" s="118"/>
      <c r="E214" s="118">
        <v>0</v>
      </c>
      <c r="F214" s="118">
        <v>0</v>
      </c>
      <c r="G214" s="118">
        <v>0</v>
      </c>
      <c r="H214" s="110">
        <f t="shared" si="0"/>
        <v>0</v>
      </c>
    </row>
    <row r="215" spans="1:8" ht="40.5" customHeight="1">
      <c r="A215" s="101"/>
      <c r="B215" s="100"/>
      <c r="C215" s="122" t="s">
        <v>1325</v>
      </c>
      <c r="D215" s="112"/>
      <c r="E215" s="123">
        <v>0</v>
      </c>
      <c r="F215" s="123">
        <v>0</v>
      </c>
      <c r="G215" s="123">
        <v>0</v>
      </c>
      <c r="H215" s="110">
        <f t="shared" si="0"/>
        <v>0</v>
      </c>
    </row>
    <row r="216" spans="1:8" ht="40.5" customHeight="1">
      <c r="A216" s="101"/>
      <c r="B216" s="100"/>
      <c r="C216" s="125" t="s">
        <v>1326</v>
      </c>
      <c r="D216" s="118"/>
      <c r="E216" s="123">
        <v>0</v>
      </c>
      <c r="F216" s="123">
        <v>0</v>
      </c>
      <c r="G216" s="123">
        <v>0</v>
      </c>
      <c r="H216" s="110">
        <f t="shared" si="0"/>
        <v>0</v>
      </c>
    </row>
    <row r="217" spans="1:8" ht="40.5" customHeight="1">
      <c r="A217" s="101"/>
      <c r="B217" s="100"/>
      <c r="C217" s="122" t="s">
        <v>1327</v>
      </c>
      <c r="D217" s="112"/>
      <c r="E217" s="123">
        <v>0</v>
      </c>
      <c r="F217" s="123">
        <v>0</v>
      </c>
      <c r="G217" s="123">
        <v>0</v>
      </c>
      <c r="H217" s="110">
        <f t="shared" si="0"/>
        <v>0</v>
      </c>
    </row>
    <row r="218" spans="1:8" ht="40.5" customHeight="1">
      <c r="A218" s="101"/>
      <c r="B218" s="100"/>
      <c r="C218" s="122" t="s">
        <v>1328</v>
      </c>
      <c r="D218" s="112"/>
      <c r="E218" s="123">
        <v>0</v>
      </c>
      <c r="F218" s="123">
        <v>0</v>
      </c>
      <c r="G218" s="123">
        <v>0</v>
      </c>
      <c r="H218" s="110">
        <f t="shared" si="0"/>
        <v>0</v>
      </c>
    </row>
    <row r="219" spans="1:8" ht="40.5" customHeight="1">
      <c r="A219" s="101" t="s">
        <v>954</v>
      </c>
      <c r="B219" s="128" t="s">
        <v>955</v>
      </c>
      <c r="C219" s="120" t="s">
        <v>1322</v>
      </c>
      <c r="D219" s="109"/>
      <c r="E219" s="121">
        <f>SUM(E220:E225)</f>
        <v>267763.3</v>
      </c>
      <c r="F219" s="121">
        <f>SUM(F220:F225)</f>
        <v>276006.1</v>
      </c>
      <c r="G219" s="121">
        <f>SUM(G220:G225)</f>
        <v>284385.9</v>
      </c>
      <c r="H219" s="110">
        <f t="shared" si="0"/>
        <v>828155.2999999999</v>
      </c>
    </row>
    <row r="220" spans="1:8" ht="40.5" customHeight="1">
      <c r="A220" s="101"/>
      <c r="B220" s="128"/>
      <c r="C220" s="122" t="s">
        <v>1323</v>
      </c>
      <c r="D220" s="112"/>
      <c r="E220" s="123">
        <f>ROUND(267763339/1000,1)</f>
        <v>267763.3</v>
      </c>
      <c r="F220" s="123">
        <f>ROUND(276006072/1000,1)</f>
        <v>276006.1</v>
      </c>
      <c r="G220" s="123">
        <f>ROUND(284385937/1000,1)</f>
        <v>284385.9</v>
      </c>
      <c r="H220" s="110">
        <f t="shared" si="0"/>
        <v>828155.2999999999</v>
      </c>
    </row>
    <row r="221" spans="1:8" ht="40.5" customHeight="1">
      <c r="A221" s="101"/>
      <c r="B221" s="128"/>
      <c r="C221" s="122" t="s">
        <v>1324</v>
      </c>
      <c r="D221" s="118"/>
      <c r="E221" s="118">
        <v>0</v>
      </c>
      <c r="F221" s="118">
        <v>0</v>
      </c>
      <c r="G221" s="118">
        <v>0</v>
      </c>
      <c r="H221" s="110">
        <f t="shared" si="0"/>
        <v>0</v>
      </c>
    </row>
    <row r="222" spans="1:8" ht="40.5" customHeight="1">
      <c r="A222" s="101"/>
      <c r="B222" s="128"/>
      <c r="C222" s="122" t="s">
        <v>1325</v>
      </c>
      <c r="D222" s="112"/>
      <c r="E222" s="123">
        <v>0</v>
      </c>
      <c r="F222" s="123">
        <v>0</v>
      </c>
      <c r="G222" s="123">
        <v>0</v>
      </c>
      <c r="H222" s="110">
        <f t="shared" si="0"/>
        <v>0</v>
      </c>
    </row>
    <row r="223" spans="1:8" ht="40.5" customHeight="1">
      <c r="A223" s="101"/>
      <c r="B223" s="128"/>
      <c r="C223" s="125" t="s">
        <v>1326</v>
      </c>
      <c r="D223" s="118"/>
      <c r="E223" s="123">
        <v>0</v>
      </c>
      <c r="F223" s="123">
        <v>0</v>
      </c>
      <c r="G223" s="123">
        <v>0</v>
      </c>
      <c r="H223" s="110">
        <f t="shared" si="0"/>
        <v>0</v>
      </c>
    </row>
    <row r="224" spans="1:8" ht="40.5" customHeight="1">
      <c r="A224" s="101"/>
      <c r="B224" s="128"/>
      <c r="C224" s="122" t="s">
        <v>1327</v>
      </c>
      <c r="D224" s="112"/>
      <c r="E224" s="123">
        <v>0</v>
      </c>
      <c r="F224" s="123">
        <v>0</v>
      </c>
      <c r="G224" s="123">
        <v>0</v>
      </c>
      <c r="H224" s="110">
        <f t="shared" si="0"/>
        <v>0</v>
      </c>
    </row>
    <row r="225" spans="1:8" ht="40.5" customHeight="1">
      <c r="A225" s="101"/>
      <c r="B225" s="128"/>
      <c r="C225" s="122" t="s">
        <v>1328</v>
      </c>
      <c r="D225" s="112"/>
      <c r="E225" s="123">
        <v>0</v>
      </c>
      <c r="F225" s="123">
        <v>0</v>
      </c>
      <c r="G225" s="123">
        <v>0</v>
      </c>
      <c r="H225" s="110">
        <f t="shared" si="0"/>
        <v>0</v>
      </c>
    </row>
    <row r="226" spans="1:8" ht="40.5" customHeight="1">
      <c r="A226" s="101" t="s">
        <v>957</v>
      </c>
      <c r="B226" s="128" t="s">
        <v>958</v>
      </c>
      <c r="C226" s="120" t="s">
        <v>1322</v>
      </c>
      <c r="D226" s="109"/>
      <c r="E226" s="121">
        <f>SUM(E227:E232)</f>
        <v>4036.1</v>
      </c>
      <c r="F226" s="121">
        <f>SUM(F227:F232)</f>
        <v>4036.1</v>
      </c>
      <c r="G226" s="121">
        <f>SUM(G227:G232)</f>
        <v>4036.1</v>
      </c>
      <c r="H226" s="110">
        <f t="shared" si="0"/>
        <v>12108.3</v>
      </c>
    </row>
    <row r="227" spans="1:8" ht="40.5" customHeight="1">
      <c r="A227" s="101"/>
      <c r="B227" s="128"/>
      <c r="C227" s="122" t="s">
        <v>1323</v>
      </c>
      <c r="D227" s="112"/>
      <c r="E227" s="123">
        <f>ROUND(4036100/1000,1)</f>
        <v>4036.1</v>
      </c>
      <c r="F227" s="123">
        <f>ROUND(4036100/1000,1)</f>
        <v>4036.1</v>
      </c>
      <c r="G227" s="123">
        <f>ROUND(4036100/1000,1)</f>
        <v>4036.1</v>
      </c>
      <c r="H227" s="110">
        <f t="shared" si="0"/>
        <v>12108.3</v>
      </c>
    </row>
    <row r="228" spans="1:8" ht="40.5" customHeight="1">
      <c r="A228" s="101"/>
      <c r="B228" s="128"/>
      <c r="C228" s="122" t="s">
        <v>1324</v>
      </c>
      <c r="D228" s="118"/>
      <c r="E228" s="118">
        <v>0</v>
      </c>
      <c r="F228" s="118">
        <v>0</v>
      </c>
      <c r="G228" s="118">
        <v>0</v>
      </c>
      <c r="H228" s="110">
        <f t="shared" si="0"/>
        <v>0</v>
      </c>
    </row>
    <row r="229" spans="1:8" ht="40.5" customHeight="1">
      <c r="A229" s="101"/>
      <c r="B229" s="128"/>
      <c r="C229" s="122" t="s">
        <v>1325</v>
      </c>
      <c r="D229" s="112"/>
      <c r="E229" s="123">
        <v>0</v>
      </c>
      <c r="F229" s="123">
        <v>0</v>
      </c>
      <c r="G229" s="123">
        <v>0</v>
      </c>
      <c r="H229" s="110">
        <f t="shared" si="0"/>
        <v>0</v>
      </c>
    </row>
    <row r="230" spans="1:8" ht="40.5" customHeight="1">
      <c r="A230" s="101"/>
      <c r="B230" s="128"/>
      <c r="C230" s="125" t="s">
        <v>1326</v>
      </c>
      <c r="D230" s="118"/>
      <c r="E230" s="123">
        <v>0</v>
      </c>
      <c r="F230" s="123">
        <v>0</v>
      </c>
      <c r="G230" s="123">
        <v>0</v>
      </c>
      <c r="H230" s="110">
        <f t="shared" si="0"/>
        <v>0</v>
      </c>
    </row>
    <row r="231" spans="1:8" ht="40.5" customHeight="1">
      <c r="A231" s="101"/>
      <c r="B231" s="128"/>
      <c r="C231" s="122" t="s">
        <v>1327</v>
      </c>
      <c r="D231" s="112"/>
      <c r="E231" s="123">
        <v>0</v>
      </c>
      <c r="F231" s="123">
        <v>0</v>
      </c>
      <c r="G231" s="123">
        <v>0</v>
      </c>
      <c r="H231" s="110">
        <f t="shared" si="0"/>
        <v>0</v>
      </c>
    </row>
    <row r="232" spans="1:8" ht="40.5" customHeight="1">
      <c r="A232" s="101"/>
      <c r="B232" s="128"/>
      <c r="C232" s="122" t="s">
        <v>1328</v>
      </c>
      <c r="D232" s="112"/>
      <c r="E232" s="123">
        <v>0</v>
      </c>
      <c r="F232" s="123">
        <v>0</v>
      </c>
      <c r="G232" s="123">
        <v>0</v>
      </c>
      <c r="H232" s="110">
        <f t="shared" si="0"/>
        <v>0</v>
      </c>
    </row>
    <row r="233" spans="1:8" ht="40.5" customHeight="1">
      <c r="A233" s="101" t="s">
        <v>964</v>
      </c>
      <c r="B233" s="126" t="s">
        <v>1342</v>
      </c>
      <c r="C233" s="120" t="s">
        <v>1322</v>
      </c>
      <c r="D233" s="109"/>
      <c r="E233" s="121">
        <f>SUM(E234:E239)</f>
        <v>249547.3</v>
      </c>
      <c r="F233" s="121">
        <f>SUM(F234:F239)</f>
        <v>252775.2</v>
      </c>
      <c r="G233" s="121">
        <f>SUM(G234:G239)</f>
        <v>256056.8</v>
      </c>
      <c r="H233" s="110">
        <f t="shared" si="0"/>
        <v>758379.3</v>
      </c>
    </row>
    <row r="234" spans="1:8" ht="40.5" customHeight="1">
      <c r="A234" s="101"/>
      <c r="B234" s="126"/>
      <c r="C234" s="122" t="s">
        <v>1323</v>
      </c>
      <c r="D234" s="112"/>
      <c r="E234" s="123">
        <f>ROUND(249547301/1000,1)</f>
        <v>249547.3</v>
      </c>
      <c r="F234" s="123">
        <f>ROUND(252775179/1000,1)</f>
        <v>252775.2</v>
      </c>
      <c r="G234" s="123">
        <f>ROUND(256056759/1000,1)</f>
        <v>256056.8</v>
      </c>
      <c r="H234" s="110">
        <f t="shared" si="0"/>
        <v>758379.3</v>
      </c>
    </row>
    <row r="235" spans="1:8" ht="40.5" customHeight="1">
      <c r="A235" s="101"/>
      <c r="B235" s="126"/>
      <c r="C235" s="122" t="s">
        <v>1324</v>
      </c>
      <c r="D235" s="118"/>
      <c r="E235" s="118">
        <v>0</v>
      </c>
      <c r="F235" s="118">
        <v>0</v>
      </c>
      <c r="G235" s="118">
        <v>0</v>
      </c>
      <c r="H235" s="110">
        <f t="shared" si="0"/>
        <v>0</v>
      </c>
    </row>
    <row r="236" spans="1:8" ht="61.5" customHeight="1">
      <c r="A236" s="101"/>
      <c r="B236" s="126"/>
      <c r="C236" s="122" t="s">
        <v>1325</v>
      </c>
      <c r="D236" s="112"/>
      <c r="E236" s="123">
        <v>0</v>
      </c>
      <c r="F236" s="123">
        <v>0</v>
      </c>
      <c r="G236" s="123">
        <v>0</v>
      </c>
      <c r="H236" s="110">
        <f t="shared" si="0"/>
        <v>0</v>
      </c>
    </row>
    <row r="237" spans="1:8" ht="40.5" customHeight="1">
      <c r="A237" s="101"/>
      <c r="B237" s="126"/>
      <c r="C237" s="125" t="s">
        <v>1326</v>
      </c>
      <c r="D237" s="118"/>
      <c r="E237" s="123">
        <v>0</v>
      </c>
      <c r="F237" s="123">
        <v>0</v>
      </c>
      <c r="G237" s="123">
        <v>0</v>
      </c>
      <c r="H237" s="110">
        <f t="shared" si="0"/>
        <v>0</v>
      </c>
    </row>
    <row r="238" spans="1:8" ht="40.5" customHeight="1">
      <c r="A238" s="101"/>
      <c r="B238" s="126"/>
      <c r="C238" s="122" t="s">
        <v>1327</v>
      </c>
      <c r="D238" s="112"/>
      <c r="E238" s="123">
        <v>0</v>
      </c>
      <c r="F238" s="123">
        <v>0</v>
      </c>
      <c r="G238" s="123">
        <v>0</v>
      </c>
      <c r="H238" s="110">
        <f t="shared" si="0"/>
        <v>0</v>
      </c>
    </row>
    <row r="239" spans="1:8" ht="40.5" customHeight="1">
      <c r="A239" s="101"/>
      <c r="B239" s="126"/>
      <c r="C239" s="122" t="s">
        <v>1328</v>
      </c>
      <c r="D239" s="112"/>
      <c r="E239" s="123">
        <v>0</v>
      </c>
      <c r="F239" s="123">
        <v>0</v>
      </c>
      <c r="G239" s="123">
        <v>0</v>
      </c>
      <c r="H239" s="110">
        <f t="shared" si="0"/>
        <v>0</v>
      </c>
    </row>
    <row r="240" spans="1:8" ht="40.5" customHeight="1">
      <c r="A240" s="101" t="s">
        <v>972</v>
      </c>
      <c r="B240" s="100" t="s">
        <v>973</v>
      </c>
      <c r="C240" s="120" t="s">
        <v>1322</v>
      </c>
      <c r="D240" s="109"/>
      <c r="E240" s="121">
        <f>SUM(E241:E246)</f>
        <v>1705.4</v>
      </c>
      <c r="F240" s="121">
        <f>SUM(F241:F246)</f>
        <v>1705.4</v>
      </c>
      <c r="G240" s="121">
        <f>SUM(G241:G246)</f>
        <v>1705.4</v>
      </c>
      <c r="H240" s="110">
        <f t="shared" si="0"/>
        <v>5116.200000000001</v>
      </c>
    </row>
    <row r="241" spans="1:8" ht="40.5" customHeight="1">
      <c r="A241" s="101"/>
      <c r="B241" s="100"/>
      <c r="C241" s="122" t="s">
        <v>1323</v>
      </c>
      <c r="D241" s="112"/>
      <c r="E241" s="123">
        <f>ROUND(1705366/1000,1)</f>
        <v>1705.4</v>
      </c>
      <c r="F241" s="123">
        <f>ROUND(1705366/1000,1)</f>
        <v>1705.4</v>
      </c>
      <c r="G241" s="123">
        <f>ROUND(1705366/1000,1)</f>
        <v>1705.4</v>
      </c>
      <c r="H241" s="110">
        <f t="shared" si="0"/>
        <v>5116.200000000001</v>
      </c>
    </row>
    <row r="242" spans="1:8" ht="40.5" customHeight="1">
      <c r="A242" s="101"/>
      <c r="B242" s="100"/>
      <c r="C242" s="122" t="s">
        <v>1324</v>
      </c>
      <c r="D242" s="118"/>
      <c r="E242" s="118">
        <v>0</v>
      </c>
      <c r="F242" s="118">
        <v>0</v>
      </c>
      <c r="G242" s="118">
        <v>0</v>
      </c>
      <c r="H242" s="110">
        <f t="shared" si="0"/>
        <v>0</v>
      </c>
    </row>
    <row r="243" spans="1:8" ht="40.5" customHeight="1">
      <c r="A243" s="101"/>
      <c r="B243" s="100"/>
      <c r="C243" s="122" t="s">
        <v>1325</v>
      </c>
      <c r="D243" s="112"/>
      <c r="E243" s="123">
        <v>0</v>
      </c>
      <c r="F243" s="123">
        <v>0</v>
      </c>
      <c r="G243" s="123">
        <v>0</v>
      </c>
      <c r="H243" s="110">
        <f t="shared" si="0"/>
        <v>0</v>
      </c>
    </row>
    <row r="244" spans="1:8" ht="40.5" customHeight="1">
      <c r="A244" s="101"/>
      <c r="B244" s="100"/>
      <c r="C244" s="125" t="s">
        <v>1326</v>
      </c>
      <c r="D244" s="118"/>
      <c r="E244" s="123">
        <v>0</v>
      </c>
      <c r="F244" s="123">
        <v>0</v>
      </c>
      <c r="G244" s="123">
        <v>0</v>
      </c>
      <c r="H244" s="110">
        <f t="shared" si="0"/>
        <v>0</v>
      </c>
    </row>
    <row r="245" spans="1:8" ht="40.5" customHeight="1">
      <c r="A245" s="101"/>
      <c r="B245" s="100"/>
      <c r="C245" s="122" t="s">
        <v>1327</v>
      </c>
      <c r="D245" s="112"/>
      <c r="E245" s="123">
        <v>0</v>
      </c>
      <c r="F245" s="123">
        <v>0</v>
      </c>
      <c r="G245" s="123">
        <v>0</v>
      </c>
      <c r="H245" s="110">
        <f t="shared" si="0"/>
        <v>0</v>
      </c>
    </row>
    <row r="246" spans="1:8" ht="40.5" customHeight="1">
      <c r="A246" s="101"/>
      <c r="B246" s="100"/>
      <c r="C246" s="122" t="s">
        <v>1328</v>
      </c>
      <c r="D246" s="112"/>
      <c r="E246" s="123">
        <v>0</v>
      </c>
      <c r="F246" s="123">
        <v>0</v>
      </c>
      <c r="G246" s="123">
        <v>0</v>
      </c>
      <c r="H246" s="110">
        <f t="shared" si="0"/>
        <v>0</v>
      </c>
    </row>
    <row r="247" spans="1:8" s="127" customFormat="1" ht="40.5" customHeight="1">
      <c r="A247" s="106" t="s">
        <v>977</v>
      </c>
      <c r="B247" s="114" t="s">
        <v>978</v>
      </c>
      <c r="C247" s="115" t="s">
        <v>1322</v>
      </c>
      <c r="D247" s="109"/>
      <c r="E247" s="109">
        <f>E248+E251</f>
        <v>2567853.1</v>
      </c>
      <c r="F247" s="109">
        <f>F248+F251</f>
        <v>2753212.0999999996</v>
      </c>
      <c r="G247" s="109">
        <f>G248+G251</f>
        <v>2882055.4</v>
      </c>
      <c r="H247" s="110">
        <f t="shared" si="0"/>
        <v>8203120.6</v>
      </c>
    </row>
    <row r="248" spans="1:10" s="127" customFormat="1" ht="40.5" customHeight="1">
      <c r="A248" s="106"/>
      <c r="B248" s="114"/>
      <c r="C248" s="108" t="s">
        <v>1323</v>
      </c>
      <c r="D248" s="112"/>
      <c r="E248" s="112">
        <f>'ТАБЛИЦА 6'!I90</f>
        <v>737524.3</v>
      </c>
      <c r="F248" s="112">
        <f>'ТАБЛИЦА 6'!J90</f>
        <v>714911.2999999998</v>
      </c>
      <c r="G248" s="112">
        <f>'ТАБЛИЦА 6'!K90</f>
        <v>717485.8999999999</v>
      </c>
      <c r="H248" s="110">
        <f t="shared" si="0"/>
        <v>2169921.5</v>
      </c>
      <c r="J248" s="129"/>
    </row>
    <row r="249" spans="1:10" s="127" customFormat="1" ht="40.5" customHeight="1">
      <c r="A249" s="106"/>
      <c r="B249" s="114"/>
      <c r="C249" s="108" t="s">
        <v>1324</v>
      </c>
      <c r="D249" s="118"/>
      <c r="E249" s="118">
        <f>E270+E277</f>
        <v>8819.9</v>
      </c>
      <c r="F249" s="118">
        <f>F270+F277</f>
        <v>0</v>
      </c>
      <c r="G249" s="118">
        <f>G270+G277</f>
        <v>0</v>
      </c>
      <c r="H249" s="110">
        <f t="shared" si="0"/>
        <v>8819.9</v>
      </c>
      <c r="J249" s="129"/>
    </row>
    <row r="250" spans="1:8" s="127" customFormat="1" ht="40.5" customHeight="1">
      <c r="A250" s="106"/>
      <c r="B250" s="114"/>
      <c r="C250" s="108" t="s">
        <v>1325</v>
      </c>
      <c r="D250" s="112"/>
      <c r="E250" s="112">
        <v>0</v>
      </c>
      <c r="F250" s="112">
        <v>0</v>
      </c>
      <c r="G250" s="112">
        <v>0</v>
      </c>
      <c r="H250" s="110">
        <f t="shared" si="0"/>
        <v>0</v>
      </c>
    </row>
    <row r="251" spans="1:8" s="127" customFormat="1" ht="40.5" customHeight="1">
      <c r="A251" s="106"/>
      <c r="B251" s="114"/>
      <c r="C251" s="113" t="s">
        <v>1326</v>
      </c>
      <c r="D251" s="118"/>
      <c r="E251" s="118">
        <v>1830328.8</v>
      </c>
      <c r="F251" s="118">
        <v>2038300.8</v>
      </c>
      <c r="G251" s="118">
        <v>2164569.5</v>
      </c>
      <c r="H251" s="110">
        <f t="shared" si="0"/>
        <v>6033199.1</v>
      </c>
    </row>
    <row r="252" spans="1:8" s="127" customFormat="1" ht="40.5" customHeight="1">
      <c r="A252" s="106"/>
      <c r="B252" s="114"/>
      <c r="C252" s="108" t="s">
        <v>1327</v>
      </c>
      <c r="D252" s="112"/>
      <c r="E252" s="112">
        <v>0</v>
      </c>
      <c r="F252" s="112">
        <v>0</v>
      </c>
      <c r="G252" s="112">
        <v>0</v>
      </c>
      <c r="H252" s="110">
        <f t="shared" si="0"/>
        <v>0</v>
      </c>
    </row>
    <row r="253" spans="1:8" s="127" customFormat="1" ht="31.5" customHeight="1">
      <c r="A253" s="106"/>
      <c r="B253" s="114"/>
      <c r="C253" s="108" t="s">
        <v>1328</v>
      </c>
      <c r="D253" s="112"/>
      <c r="E253" s="112">
        <v>0</v>
      </c>
      <c r="F253" s="112">
        <v>0</v>
      </c>
      <c r="G253" s="112">
        <v>0</v>
      </c>
      <c r="H253" s="110">
        <f t="shared" si="0"/>
        <v>0</v>
      </c>
    </row>
    <row r="254" spans="1:8" ht="40.5" customHeight="1">
      <c r="A254" s="101" t="s">
        <v>989</v>
      </c>
      <c r="B254" s="126" t="s">
        <v>990</v>
      </c>
      <c r="C254" s="120" t="s">
        <v>1322</v>
      </c>
      <c r="D254" s="109"/>
      <c r="E254" s="121">
        <f>SUM(E255:E260)</f>
        <v>46122.9</v>
      </c>
      <c r="F254" s="121">
        <f>SUM(F255:F260)</f>
        <v>46194</v>
      </c>
      <c r="G254" s="121">
        <f>SUM(G255:G260)</f>
        <v>46266.2</v>
      </c>
      <c r="H254" s="110">
        <f t="shared" si="0"/>
        <v>138583.09999999998</v>
      </c>
    </row>
    <row r="255" spans="1:8" ht="40.5" customHeight="1">
      <c r="A255" s="101"/>
      <c r="B255" s="126"/>
      <c r="C255" s="122" t="s">
        <v>1323</v>
      </c>
      <c r="D255" s="112"/>
      <c r="E255" s="118">
        <f>ROUND(46122909/1000,1)</f>
        <v>46122.9</v>
      </c>
      <c r="F255" s="118">
        <f>ROUND(46193972/1000,1)</f>
        <v>46194</v>
      </c>
      <c r="G255" s="118">
        <f>ROUND(46266218/1000,1)</f>
        <v>46266.2</v>
      </c>
      <c r="H255" s="110">
        <f t="shared" si="0"/>
        <v>138583.09999999998</v>
      </c>
    </row>
    <row r="256" spans="1:8" ht="40.5" customHeight="1">
      <c r="A256" s="101"/>
      <c r="B256" s="126"/>
      <c r="C256" s="122" t="s">
        <v>1324</v>
      </c>
      <c r="D256" s="118"/>
      <c r="E256" s="118">
        <v>0</v>
      </c>
      <c r="F256" s="118">
        <v>0</v>
      </c>
      <c r="G256" s="118">
        <v>0</v>
      </c>
      <c r="H256" s="110">
        <f t="shared" si="0"/>
        <v>0</v>
      </c>
    </row>
    <row r="257" spans="1:8" ht="33" customHeight="1">
      <c r="A257" s="101"/>
      <c r="B257" s="126"/>
      <c r="C257" s="122" t="s">
        <v>1325</v>
      </c>
      <c r="D257" s="112"/>
      <c r="E257" s="123">
        <v>0</v>
      </c>
      <c r="F257" s="123">
        <v>0</v>
      </c>
      <c r="G257" s="123">
        <v>0</v>
      </c>
      <c r="H257" s="110">
        <f t="shared" si="0"/>
        <v>0</v>
      </c>
    </row>
    <row r="258" spans="1:8" ht="35.25" customHeight="1">
      <c r="A258" s="101"/>
      <c r="B258" s="126"/>
      <c r="C258" s="125" t="s">
        <v>1326</v>
      </c>
      <c r="D258" s="118"/>
      <c r="E258" s="123">
        <v>0</v>
      </c>
      <c r="F258" s="123">
        <v>0</v>
      </c>
      <c r="G258" s="123">
        <v>0</v>
      </c>
      <c r="H258" s="110">
        <f t="shared" si="0"/>
        <v>0</v>
      </c>
    </row>
    <row r="259" spans="1:8" ht="37.5" customHeight="1">
      <c r="A259" s="101"/>
      <c r="B259" s="126"/>
      <c r="C259" s="122" t="s">
        <v>1327</v>
      </c>
      <c r="D259" s="112"/>
      <c r="E259" s="123">
        <v>0</v>
      </c>
      <c r="F259" s="123">
        <v>0</v>
      </c>
      <c r="G259" s="123">
        <v>0</v>
      </c>
      <c r="H259" s="110">
        <f t="shared" si="0"/>
        <v>0</v>
      </c>
    </row>
    <row r="260" spans="1:8" ht="42.75" customHeight="1">
      <c r="A260" s="101"/>
      <c r="B260" s="126"/>
      <c r="C260" s="122" t="s">
        <v>1328</v>
      </c>
      <c r="D260" s="112"/>
      <c r="E260" s="123">
        <v>0</v>
      </c>
      <c r="F260" s="123">
        <v>0</v>
      </c>
      <c r="G260" s="123">
        <v>0</v>
      </c>
      <c r="H260" s="110">
        <f t="shared" si="0"/>
        <v>0</v>
      </c>
    </row>
    <row r="261" spans="1:8" ht="40.5" customHeight="1">
      <c r="A261" s="101" t="s">
        <v>993</v>
      </c>
      <c r="B261" s="100" t="s">
        <v>813</v>
      </c>
      <c r="C261" s="120" t="s">
        <v>1322</v>
      </c>
      <c r="D261" s="109"/>
      <c r="E261" s="121">
        <f>SUM(E262:E267)</f>
        <v>16500</v>
      </c>
      <c r="F261" s="121">
        <f>SUM(F262:F267)</f>
        <v>0</v>
      </c>
      <c r="G261" s="121">
        <f>SUM(G262:G267)</f>
        <v>0</v>
      </c>
      <c r="H261" s="110">
        <f t="shared" si="0"/>
        <v>16500</v>
      </c>
    </row>
    <row r="262" spans="1:8" ht="40.5" customHeight="1">
      <c r="A262" s="101"/>
      <c r="B262" s="100"/>
      <c r="C262" s="122" t="s">
        <v>1323</v>
      </c>
      <c r="D262" s="112"/>
      <c r="E262" s="118">
        <f>'[1]Таблица 7а'!$J$67</f>
        <v>16500</v>
      </c>
      <c r="F262" s="118">
        <f>'[1]Таблица 7а'!$K$67</f>
        <v>0</v>
      </c>
      <c r="G262" s="118">
        <f>'[1]Таблица 7а'!$L$67</f>
        <v>0</v>
      </c>
      <c r="H262" s="110">
        <f t="shared" si="0"/>
        <v>16500</v>
      </c>
    </row>
    <row r="263" spans="1:8" ht="40.5" customHeight="1">
      <c r="A263" s="101"/>
      <c r="B263" s="100"/>
      <c r="C263" s="122" t="s">
        <v>1324</v>
      </c>
      <c r="D263" s="118"/>
      <c r="E263" s="118">
        <v>0</v>
      </c>
      <c r="F263" s="118">
        <v>0</v>
      </c>
      <c r="G263" s="118">
        <v>0</v>
      </c>
      <c r="H263" s="110">
        <f t="shared" si="0"/>
        <v>0</v>
      </c>
    </row>
    <row r="264" spans="1:8" ht="40.5" customHeight="1">
      <c r="A264" s="101"/>
      <c r="B264" s="100"/>
      <c r="C264" s="122" t="s">
        <v>1325</v>
      </c>
      <c r="D264" s="112"/>
      <c r="E264" s="123">
        <v>0</v>
      </c>
      <c r="F264" s="123">
        <v>0</v>
      </c>
      <c r="G264" s="123">
        <v>0</v>
      </c>
      <c r="H264" s="110">
        <f t="shared" si="0"/>
        <v>0</v>
      </c>
    </row>
    <row r="265" spans="1:8" ht="40.5" customHeight="1">
      <c r="A265" s="101"/>
      <c r="B265" s="100"/>
      <c r="C265" s="125" t="s">
        <v>1326</v>
      </c>
      <c r="D265" s="118"/>
      <c r="E265" s="123">
        <v>0</v>
      </c>
      <c r="F265" s="123">
        <v>0</v>
      </c>
      <c r="G265" s="123">
        <v>0</v>
      </c>
      <c r="H265" s="110">
        <f t="shared" si="0"/>
        <v>0</v>
      </c>
    </row>
    <row r="266" spans="1:8" ht="40.5" customHeight="1">
      <c r="A266" s="101"/>
      <c r="B266" s="100"/>
      <c r="C266" s="122" t="s">
        <v>1327</v>
      </c>
      <c r="D266" s="112"/>
      <c r="E266" s="123">
        <v>0</v>
      </c>
      <c r="F266" s="123">
        <v>0</v>
      </c>
      <c r="G266" s="123">
        <v>0</v>
      </c>
      <c r="H266" s="110">
        <f t="shared" si="0"/>
        <v>0</v>
      </c>
    </row>
    <row r="267" spans="1:8" ht="40.5" customHeight="1">
      <c r="A267" s="101"/>
      <c r="B267" s="100"/>
      <c r="C267" s="122" t="s">
        <v>1328</v>
      </c>
      <c r="D267" s="112"/>
      <c r="E267" s="123">
        <v>0</v>
      </c>
      <c r="F267" s="123">
        <v>0</v>
      </c>
      <c r="G267" s="123">
        <v>0</v>
      </c>
      <c r="H267" s="110">
        <f t="shared" si="0"/>
        <v>0</v>
      </c>
    </row>
    <row r="268" spans="1:8" ht="40.5" customHeight="1">
      <c r="A268" s="101" t="s">
        <v>995</v>
      </c>
      <c r="B268" s="100" t="s">
        <v>996</v>
      </c>
      <c r="C268" s="120" t="s">
        <v>1322</v>
      </c>
      <c r="D268" s="109"/>
      <c r="E268" s="121">
        <f>E269</f>
        <v>5533.7</v>
      </c>
      <c r="F268" s="121">
        <f>F269</f>
        <v>776.2</v>
      </c>
      <c r="G268" s="121">
        <f>G269</f>
        <v>776.2</v>
      </c>
      <c r="H268" s="110">
        <f t="shared" si="0"/>
        <v>7086.099999999999</v>
      </c>
    </row>
    <row r="269" spans="1:8" ht="40.5" customHeight="1">
      <c r="A269" s="101"/>
      <c r="B269" s="100"/>
      <c r="C269" s="122" t="s">
        <v>1323</v>
      </c>
      <c r="D269" s="112"/>
      <c r="E269" s="118">
        <f>ROUND(721664/1000,1)+4812</f>
        <v>5533.7</v>
      </c>
      <c r="F269" s="118">
        <f>ROUND(776230/1000,1)</f>
        <v>776.2</v>
      </c>
      <c r="G269" s="118">
        <f>ROUND(776230/1000,1)</f>
        <v>776.2</v>
      </c>
      <c r="H269" s="110">
        <f t="shared" si="0"/>
        <v>7086.099999999999</v>
      </c>
    </row>
    <row r="270" spans="1:8" ht="40.5" customHeight="1">
      <c r="A270" s="101"/>
      <c r="B270" s="100"/>
      <c r="C270" s="122" t="s">
        <v>1324</v>
      </c>
      <c r="D270" s="118"/>
      <c r="E270" s="118">
        <v>4812</v>
      </c>
      <c r="F270" s="118">
        <v>0</v>
      </c>
      <c r="G270" s="118">
        <v>0</v>
      </c>
      <c r="H270" s="110">
        <f t="shared" si="0"/>
        <v>4812</v>
      </c>
    </row>
    <row r="271" spans="1:8" ht="40.5" customHeight="1">
      <c r="A271" s="101"/>
      <c r="B271" s="100"/>
      <c r="C271" s="122" t="s">
        <v>1325</v>
      </c>
      <c r="D271" s="112"/>
      <c r="E271" s="123">
        <v>0</v>
      </c>
      <c r="F271" s="123">
        <v>0</v>
      </c>
      <c r="G271" s="123">
        <v>0</v>
      </c>
      <c r="H271" s="110">
        <f t="shared" si="0"/>
        <v>0</v>
      </c>
    </row>
    <row r="272" spans="1:8" ht="40.5" customHeight="1">
      <c r="A272" s="101"/>
      <c r="B272" s="100"/>
      <c r="C272" s="125" t="s">
        <v>1326</v>
      </c>
      <c r="D272" s="118"/>
      <c r="E272" s="123">
        <v>0</v>
      </c>
      <c r="F272" s="123">
        <v>0</v>
      </c>
      <c r="G272" s="123">
        <v>0</v>
      </c>
      <c r="H272" s="110">
        <f t="shared" si="0"/>
        <v>0</v>
      </c>
    </row>
    <row r="273" spans="1:8" ht="40.5" customHeight="1">
      <c r="A273" s="101"/>
      <c r="B273" s="100"/>
      <c r="C273" s="122" t="s">
        <v>1327</v>
      </c>
      <c r="D273" s="112"/>
      <c r="E273" s="123">
        <v>0</v>
      </c>
      <c r="F273" s="123">
        <v>0</v>
      </c>
      <c r="G273" s="123">
        <v>0</v>
      </c>
      <c r="H273" s="110">
        <f t="shared" si="0"/>
        <v>0</v>
      </c>
    </row>
    <row r="274" spans="1:8" ht="40.5" customHeight="1">
      <c r="A274" s="101"/>
      <c r="B274" s="100"/>
      <c r="C274" s="122" t="s">
        <v>1328</v>
      </c>
      <c r="D274" s="112"/>
      <c r="E274" s="123">
        <v>0</v>
      </c>
      <c r="F274" s="123">
        <v>0</v>
      </c>
      <c r="G274" s="123">
        <v>0</v>
      </c>
      <c r="H274" s="110">
        <f t="shared" si="0"/>
        <v>0</v>
      </c>
    </row>
    <row r="275" spans="1:8" ht="40.5" customHeight="1">
      <c r="A275" s="101" t="s">
        <v>1001</v>
      </c>
      <c r="B275" s="100" t="s">
        <v>1343</v>
      </c>
      <c r="C275" s="120" t="s">
        <v>1322</v>
      </c>
      <c r="D275" s="109"/>
      <c r="E275" s="121">
        <f>E276</f>
        <v>4667.9</v>
      </c>
      <c r="F275" s="121">
        <f>F276</f>
        <v>729</v>
      </c>
      <c r="G275" s="121">
        <f>G276</f>
        <v>729</v>
      </c>
      <c r="H275" s="110">
        <f t="shared" si="0"/>
        <v>6125.9</v>
      </c>
    </row>
    <row r="276" spans="1:8" ht="40.5" customHeight="1">
      <c r="A276" s="101"/>
      <c r="B276" s="100"/>
      <c r="C276" s="122" t="s">
        <v>1323</v>
      </c>
      <c r="D276" s="112"/>
      <c r="E276" s="123">
        <f>ROUND(660000/1000,1)+4007.9</f>
        <v>4667.9</v>
      </c>
      <c r="F276" s="123">
        <f>ROUND(729036/1000,1)</f>
        <v>729</v>
      </c>
      <c r="G276" s="123">
        <f>ROUND(729036/1000,1)</f>
        <v>729</v>
      </c>
      <c r="H276" s="110">
        <f t="shared" si="0"/>
        <v>6125.9</v>
      </c>
    </row>
    <row r="277" spans="1:8" ht="40.5" customHeight="1">
      <c r="A277" s="101"/>
      <c r="B277" s="100"/>
      <c r="C277" s="122" t="s">
        <v>1324</v>
      </c>
      <c r="D277" s="118"/>
      <c r="E277" s="118">
        <v>4007.9</v>
      </c>
      <c r="F277" s="118">
        <v>0</v>
      </c>
      <c r="G277" s="118">
        <v>0</v>
      </c>
      <c r="H277" s="110">
        <f t="shared" si="0"/>
        <v>4007.9</v>
      </c>
    </row>
    <row r="278" spans="1:8" ht="40.5" customHeight="1">
      <c r="A278" s="101"/>
      <c r="B278" s="100"/>
      <c r="C278" s="122" t="s">
        <v>1325</v>
      </c>
      <c r="D278" s="112"/>
      <c r="E278" s="123">
        <v>0</v>
      </c>
      <c r="F278" s="123">
        <v>0</v>
      </c>
      <c r="G278" s="123">
        <v>0</v>
      </c>
      <c r="H278" s="110">
        <f t="shared" si="0"/>
        <v>0</v>
      </c>
    </row>
    <row r="279" spans="1:8" ht="40.5" customHeight="1">
      <c r="A279" s="101"/>
      <c r="B279" s="100"/>
      <c r="C279" s="125" t="s">
        <v>1326</v>
      </c>
      <c r="D279" s="118"/>
      <c r="E279" s="123">
        <v>0</v>
      </c>
      <c r="F279" s="123">
        <v>0</v>
      </c>
      <c r="G279" s="123">
        <v>0</v>
      </c>
      <c r="H279" s="110">
        <f t="shared" si="0"/>
        <v>0</v>
      </c>
    </row>
    <row r="280" spans="1:8" ht="40.5" customHeight="1">
      <c r="A280" s="101"/>
      <c r="B280" s="100"/>
      <c r="C280" s="122" t="s">
        <v>1327</v>
      </c>
      <c r="D280" s="112"/>
      <c r="E280" s="123">
        <v>0</v>
      </c>
      <c r="F280" s="123">
        <v>0</v>
      </c>
      <c r="G280" s="123">
        <v>0</v>
      </c>
      <c r="H280" s="110">
        <f t="shared" si="0"/>
        <v>0</v>
      </c>
    </row>
    <row r="281" spans="1:8" ht="40.5" customHeight="1">
      <c r="A281" s="101"/>
      <c r="B281" s="100"/>
      <c r="C281" s="122" t="s">
        <v>1328</v>
      </c>
      <c r="D281" s="112"/>
      <c r="E281" s="123">
        <v>0</v>
      </c>
      <c r="F281" s="123">
        <v>0</v>
      </c>
      <c r="G281" s="123">
        <v>0</v>
      </c>
      <c r="H281" s="110">
        <f t="shared" si="0"/>
        <v>0</v>
      </c>
    </row>
    <row r="282" spans="1:8" ht="33" customHeight="1">
      <c r="A282" s="101" t="s">
        <v>1024</v>
      </c>
      <c r="B282" s="126" t="s">
        <v>1025</v>
      </c>
      <c r="C282" s="120" t="s">
        <v>1322</v>
      </c>
      <c r="D282" s="109"/>
      <c r="E282" s="121">
        <f>SUM(E283:E288)</f>
        <v>21089.8</v>
      </c>
      <c r="F282" s="121">
        <f>SUM(F283:F288)</f>
        <v>21089.8</v>
      </c>
      <c r="G282" s="121">
        <f>SUM(G283:G288)</f>
        <v>21089.8</v>
      </c>
      <c r="H282" s="110">
        <f t="shared" si="0"/>
        <v>63269.399999999994</v>
      </c>
    </row>
    <row r="283" spans="1:8" ht="40.5" customHeight="1">
      <c r="A283" s="101"/>
      <c r="B283" s="126"/>
      <c r="C283" s="122" t="s">
        <v>1323</v>
      </c>
      <c r="D283" s="112"/>
      <c r="E283" s="123">
        <f>ROUND(21089842/1000,1)</f>
        <v>21089.8</v>
      </c>
      <c r="F283" s="123">
        <f>ROUND(21089842/1000,1)</f>
        <v>21089.8</v>
      </c>
      <c r="G283" s="123">
        <f>ROUND(21089842/1000,1)</f>
        <v>21089.8</v>
      </c>
      <c r="H283" s="110">
        <f t="shared" si="0"/>
        <v>63269.399999999994</v>
      </c>
    </row>
    <row r="284" spans="1:8" ht="40.5" customHeight="1">
      <c r="A284" s="101"/>
      <c r="B284" s="126"/>
      <c r="C284" s="122" t="s">
        <v>1324</v>
      </c>
      <c r="D284" s="118"/>
      <c r="E284" s="118">
        <v>0</v>
      </c>
      <c r="F284" s="118">
        <v>0</v>
      </c>
      <c r="G284" s="118">
        <v>0</v>
      </c>
      <c r="H284" s="110">
        <f t="shared" si="0"/>
        <v>0</v>
      </c>
    </row>
    <row r="285" spans="1:8" ht="60" customHeight="1">
      <c r="A285" s="101"/>
      <c r="B285" s="126"/>
      <c r="C285" s="122" t="s">
        <v>1325</v>
      </c>
      <c r="D285" s="112"/>
      <c r="E285" s="123">
        <v>0</v>
      </c>
      <c r="F285" s="123">
        <v>0</v>
      </c>
      <c r="G285" s="123">
        <v>0</v>
      </c>
      <c r="H285" s="110">
        <f t="shared" si="0"/>
        <v>0</v>
      </c>
    </row>
    <row r="286" spans="1:8" ht="40.5" customHeight="1">
      <c r="A286" s="101"/>
      <c r="B286" s="126"/>
      <c r="C286" s="125" t="s">
        <v>1326</v>
      </c>
      <c r="D286" s="118"/>
      <c r="E286" s="123">
        <v>0</v>
      </c>
      <c r="F286" s="123">
        <v>0</v>
      </c>
      <c r="G286" s="123">
        <v>0</v>
      </c>
      <c r="H286" s="110">
        <f t="shared" si="0"/>
        <v>0</v>
      </c>
    </row>
    <row r="287" spans="1:8" ht="40.5" customHeight="1">
      <c r="A287" s="101"/>
      <c r="B287" s="126"/>
      <c r="C287" s="122" t="s">
        <v>1327</v>
      </c>
      <c r="D287" s="112"/>
      <c r="E287" s="123">
        <v>0</v>
      </c>
      <c r="F287" s="123">
        <v>0</v>
      </c>
      <c r="G287" s="123">
        <v>0</v>
      </c>
      <c r="H287" s="110">
        <f t="shared" si="0"/>
        <v>0</v>
      </c>
    </row>
    <row r="288" spans="1:8" ht="40.5" customHeight="1">
      <c r="A288" s="101"/>
      <c r="B288" s="126"/>
      <c r="C288" s="122" t="s">
        <v>1328</v>
      </c>
      <c r="D288" s="112"/>
      <c r="E288" s="123">
        <v>0</v>
      </c>
      <c r="F288" s="123">
        <v>0</v>
      </c>
      <c r="G288" s="123">
        <v>0</v>
      </c>
      <c r="H288" s="110">
        <f t="shared" si="0"/>
        <v>0</v>
      </c>
    </row>
    <row r="289" spans="1:8" ht="40.5" customHeight="1">
      <c r="A289" s="101" t="s">
        <v>1027</v>
      </c>
      <c r="B289" s="126" t="s">
        <v>1028</v>
      </c>
      <c r="C289" s="120" t="s">
        <v>1322</v>
      </c>
      <c r="D289" s="109"/>
      <c r="E289" s="121">
        <f>SUM(E290:E295)</f>
        <v>52808.7</v>
      </c>
      <c r="F289" s="121">
        <f>SUM(F290:F295)</f>
        <v>53241.9</v>
      </c>
      <c r="G289" s="121">
        <f>SUM(G290:G295)</f>
        <v>53682.3</v>
      </c>
      <c r="H289" s="110">
        <f t="shared" si="0"/>
        <v>159732.90000000002</v>
      </c>
    </row>
    <row r="290" spans="1:8" ht="40.5" customHeight="1">
      <c r="A290" s="101"/>
      <c r="B290" s="126"/>
      <c r="C290" s="122" t="s">
        <v>1323</v>
      </c>
      <c r="D290" s="112"/>
      <c r="E290" s="118">
        <f>ROUND(52808734/1000,1)</f>
        <v>52808.7</v>
      </c>
      <c r="F290" s="118">
        <f>ROUND(53241905/1000,1)</f>
        <v>53241.9</v>
      </c>
      <c r="G290" s="118">
        <f>ROUND(53682282/1000,1)</f>
        <v>53682.3</v>
      </c>
      <c r="H290" s="110">
        <f t="shared" si="0"/>
        <v>159732.90000000002</v>
      </c>
    </row>
    <row r="291" spans="1:8" ht="40.5" customHeight="1">
      <c r="A291" s="101"/>
      <c r="B291" s="126"/>
      <c r="C291" s="122" t="s">
        <v>1324</v>
      </c>
      <c r="D291" s="118"/>
      <c r="E291" s="118">
        <v>0</v>
      </c>
      <c r="F291" s="118">
        <v>0</v>
      </c>
      <c r="G291" s="118">
        <v>0</v>
      </c>
      <c r="H291" s="110">
        <f t="shared" si="0"/>
        <v>0</v>
      </c>
    </row>
    <row r="292" spans="1:8" ht="40.5" customHeight="1">
      <c r="A292" s="101"/>
      <c r="B292" s="126"/>
      <c r="C292" s="122" t="s">
        <v>1325</v>
      </c>
      <c r="D292" s="112"/>
      <c r="E292" s="123">
        <v>0</v>
      </c>
      <c r="F292" s="123">
        <v>0</v>
      </c>
      <c r="G292" s="123">
        <v>0</v>
      </c>
      <c r="H292" s="110">
        <f t="shared" si="0"/>
        <v>0</v>
      </c>
    </row>
    <row r="293" spans="1:8" ht="40.5" customHeight="1">
      <c r="A293" s="101"/>
      <c r="B293" s="126"/>
      <c r="C293" s="125" t="s">
        <v>1326</v>
      </c>
      <c r="D293" s="118"/>
      <c r="E293" s="123">
        <v>0</v>
      </c>
      <c r="F293" s="123">
        <v>0</v>
      </c>
      <c r="G293" s="123">
        <v>0</v>
      </c>
      <c r="H293" s="110">
        <f t="shared" si="0"/>
        <v>0</v>
      </c>
    </row>
    <row r="294" spans="1:8" ht="40.5" customHeight="1">
      <c r="A294" s="101"/>
      <c r="B294" s="126"/>
      <c r="C294" s="122" t="s">
        <v>1327</v>
      </c>
      <c r="D294" s="112"/>
      <c r="E294" s="123">
        <v>0</v>
      </c>
      <c r="F294" s="123">
        <v>0</v>
      </c>
      <c r="G294" s="123">
        <v>0</v>
      </c>
      <c r="H294" s="110">
        <f t="shared" si="0"/>
        <v>0</v>
      </c>
    </row>
    <row r="295" spans="1:8" ht="40.5" customHeight="1">
      <c r="A295" s="101"/>
      <c r="B295" s="126"/>
      <c r="C295" s="122" t="s">
        <v>1328</v>
      </c>
      <c r="D295" s="112"/>
      <c r="E295" s="123">
        <v>0</v>
      </c>
      <c r="F295" s="123">
        <v>0</v>
      </c>
      <c r="G295" s="123">
        <v>0</v>
      </c>
      <c r="H295" s="110">
        <f t="shared" si="0"/>
        <v>0</v>
      </c>
    </row>
    <row r="296" spans="1:8" ht="40.5" customHeight="1">
      <c r="A296" s="101" t="s">
        <v>1036</v>
      </c>
      <c r="B296" s="126" t="s">
        <v>1037</v>
      </c>
      <c r="C296" s="120" t="s">
        <v>1322</v>
      </c>
      <c r="D296" s="109"/>
      <c r="E296" s="121">
        <f>SUM(E297:E302)</f>
        <v>380.2</v>
      </c>
      <c r="F296" s="121">
        <f>SUM(F297:F302)</f>
        <v>419.9</v>
      </c>
      <c r="G296" s="121">
        <f>SUM(G297:G302)</f>
        <v>419.9</v>
      </c>
      <c r="H296" s="110">
        <f t="shared" si="0"/>
        <v>1220</v>
      </c>
    </row>
    <row r="297" spans="1:8" ht="40.5" customHeight="1">
      <c r="A297" s="101"/>
      <c r="B297" s="126"/>
      <c r="C297" s="122" t="s">
        <v>1323</v>
      </c>
      <c r="D297" s="112"/>
      <c r="E297" s="118">
        <f>ROUND(380160/1000,1)</f>
        <v>380.2</v>
      </c>
      <c r="F297" s="118">
        <f>ROUND(419925/1000,1)</f>
        <v>419.9</v>
      </c>
      <c r="G297" s="118">
        <f>ROUND(419925/1000,1)</f>
        <v>419.9</v>
      </c>
      <c r="H297" s="110">
        <f t="shared" si="0"/>
        <v>1220</v>
      </c>
    </row>
    <row r="298" spans="1:8" ht="40.5" customHeight="1">
      <c r="A298" s="101"/>
      <c r="B298" s="126"/>
      <c r="C298" s="122" t="s">
        <v>1324</v>
      </c>
      <c r="D298" s="118"/>
      <c r="E298" s="118">
        <v>0</v>
      </c>
      <c r="F298" s="118">
        <v>0</v>
      </c>
      <c r="G298" s="118">
        <v>0</v>
      </c>
      <c r="H298" s="110">
        <f t="shared" si="0"/>
        <v>0</v>
      </c>
    </row>
    <row r="299" spans="1:8" ht="40.5" customHeight="1">
      <c r="A299" s="101"/>
      <c r="B299" s="126"/>
      <c r="C299" s="122" t="s">
        <v>1325</v>
      </c>
      <c r="D299" s="112"/>
      <c r="E299" s="123">
        <v>0</v>
      </c>
      <c r="F299" s="123">
        <v>0</v>
      </c>
      <c r="G299" s="123">
        <v>0</v>
      </c>
      <c r="H299" s="110">
        <f t="shared" si="0"/>
        <v>0</v>
      </c>
    </row>
    <row r="300" spans="1:8" ht="40.5" customHeight="1">
      <c r="A300" s="101"/>
      <c r="B300" s="126"/>
      <c r="C300" s="125" t="s">
        <v>1326</v>
      </c>
      <c r="D300" s="118"/>
      <c r="E300" s="123">
        <v>0</v>
      </c>
      <c r="F300" s="123">
        <v>0</v>
      </c>
      <c r="G300" s="123">
        <v>0</v>
      </c>
      <c r="H300" s="110">
        <f t="shared" si="0"/>
        <v>0</v>
      </c>
    </row>
    <row r="301" spans="1:8" ht="40.5" customHeight="1">
      <c r="A301" s="101"/>
      <c r="B301" s="126"/>
      <c r="C301" s="122" t="s">
        <v>1327</v>
      </c>
      <c r="D301" s="112"/>
      <c r="E301" s="123">
        <v>0</v>
      </c>
      <c r="F301" s="123">
        <v>0</v>
      </c>
      <c r="G301" s="123">
        <v>0</v>
      </c>
      <c r="H301" s="110">
        <f t="shared" si="0"/>
        <v>0</v>
      </c>
    </row>
    <row r="302" spans="1:8" ht="40.5" customHeight="1">
      <c r="A302" s="101"/>
      <c r="B302" s="126"/>
      <c r="C302" s="122" t="s">
        <v>1328</v>
      </c>
      <c r="D302" s="112"/>
      <c r="E302" s="123">
        <v>0</v>
      </c>
      <c r="F302" s="123">
        <v>0</v>
      </c>
      <c r="G302" s="123">
        <v>0</v>
      </c>
      <c r="H302" s="110">
        <f t="shared" si="0"/>
        <v>0</v>
      </c>
    </row>
    <row r="303" spans="1:8" ht="40.5" customHeight="1">
      <c r="A303" s="101" t="s">
        <v>1041</v>
      </c>
      <c r="B303" s="119" t="s">
        <v>1042</v>
      </c>
      <c r="C303" s="120" t="s">
        <v>1322</v>
      </c>
      <c r="D303" s="109"/>
      <c r="E303" s="121">
        <f>SUM(E304:E309)</f>
        <v>206229.6</v>
      </c>
      <c r="F303" s="121">
        <f>SUM(F304:F309)</f>
        <v>207324.3</v>
      </c>
      <c r="G303" s="121">
        <f>SUM(G304:G309)</f>
        <v>208437.2</v>
      </c>
      <c r="H303" s="110">
        <f t="shared" si="0"/>
        <v>621991.1000000001</v>
      </c>
    </row>
    <row r="304" spans="1:8" ht="40.5" customHeight="1">
      <c r="A304" s="101"/>
      <c r="B304" s="119"/>
      <c r="C304" s="122" t="s">
        <v>1323</v>
      </c>
      <c r="D304" s="112"/>
      <c r="E304" s="118">
        <f>ROUND(206229551/1000,1)</f>
        <v>206229.6</v>
      </c>
      <c r="F304" s="118">
        <f>ROUND(207324264/1000,1)</f>
        <v>207324.3</v>
      </c>
      <c r="G304" s="118">
        <f>ROUND(208437193/1000,1)</f>
        <v>208437.2</v>
      </c>
      <c r="H304" s="110">
        <f t="shared" si="0"/>
        <v>621991.1000000001</v>
      </c>
    </row>
    <row r="305" spans="1:8" ht="40.5" customHeight="1">
      <c r="A305" s="101"/>
      <c r="B305" s="119"/>
      <c r="C305" s="122" t="s">
        <v>1324</v>
      </c>
      <c r="D305" s="118"/>
      <c r="E305" s="118">
        <v>0</v>
      </c>
      <c r="F305" s="118">
        <v>0</v>
      </c>
      <c r="G305" s="118">
        <v>0</v>
      </c>
      <c r="H305" s="110">
        <f t="shared" si="0"/>
        <v>0</v>
      </c>
    </row>
    <row r="306" spans="1:8" ht="40.5" customHeight="1">
      <c r="A306" s="101"/>
      <c r="B306" s="119"/>
      <c r="C306" s="122" t="s">
        <v>1325</v>
      </c>
      <c r="D306" s="112"/>
      <c r="E306" s="123">
        <v>0</v>
      </c>
      <c r="F306" s="123">
        <v>0</v>
      </c>
      <c r="G306" s="123">
        <v>0</v>
      </c>
      <c r="H306" s="110">
        <f t="shared" si="0"/>
        <v>0</v>
      </c>
    </row>
    <row r="307" spans="1:8" ht="40.5" customHeight="1">
      <c r="A307" s="101"/>
      <c r="B307" s="119"/>
      <c r="C307" s="125" t="s">
        <v>1326</v>
      </c>
      <c r="D307" s="118"/>
      <c r="E307" s="123">
        <v>0</v>
      </c>
      <c r="F307" s="123">
        <v>0</v>
      </c>
      <c r="G307" s="123">
        <v>0</v>
      </c>
      <c r="H307" s="110">
        <f t="shared" si="0"/>
        <v>0</v>
      </c>
    </row>
    <row r="308" spans="1:8" ht="40.5" customHeight="1">
      <c r="A308" s="101"/>
      <c r="B308" s="119"/>
      <c r="C308" s="122" t="s">
        <v>1327</v>
      </c>
      <c r="D308" s="112"/>
      <c r="E308" s="123">
        <v>0</v>
      </c>
      <c r="F308" s="123">
        <v>0</v>
      </c>
      <c r="G308" s="123">
        <v>0</v>
      </c>
      <c r="H308" s="110">
        <f t="shared" si="0"/>
        <v>0</v>
      </c>
    </row>
    <row r="309" spans="1:8" ht="40.5" customHeight="1">
      <c r="A309" s="101"/>
      <c r="B309" s="119"/>
      <c r="C309" s="122" t="s">
        <v>1328</v>
      </c>
      <c r="D309" s="112"/>
      <c r="E309" s="123">
        <v>0</v>
      </c>
      <c r="F309" s="123">
        <v>0</v>
      </c>
      <c r="G309" s="123">
        <v>0</v>
      </c>
      <c r="H309" s="110">
        <f t="shared" si="0"/>
        <v>0</v>
      </c>
    </row>
    <row r="310" spans="1:8" ht="40.5" customHeight="1">
      <c r="A310" s="101" t="s">
        <v>1045</v>
      </c>
      <c r="B310" s="100" t="s">
        <v>1046</v>
      </c>
      <c r="C310" s="120" t="s">
        <v>1322</v>
      </c>
      <c r="D310" s="109"/>
      <c r="E310" s="121">
        <f>SUM(E311:E316)</f>
        <v>375541.9</v>
      </c>
      <c r="F310" s="121">
        <f>SUM(F311:F316)</f>
        <v>376436.8</v>
      </c>
      <c r="G310" s="121">
        <f>SUM(G311:G316)</f>
        <v>377346.6</v>
      </c>
      <c r="H310" s="110">
        <f t="shared" si="0"/>
        <v>1129325.2999999998</v>
      </c>
    </row>
    <row r="311" spans="1:8" ht="40.5" customHeight="1">
      <c r="A311" s="101"/>
      <c r="B311" s="100"/>
      <c r="C311" s="122" t="s">
        <v>1323</v>
      </c>
      <c r="D311" s="112"/>
      <c r="E311" s="118">
        <f>ROUND(375541913/1000,1)</f>
        <v>375541.9</v>
      </c>
      <c r="F311" s="118">
        <f>ROUND(376436825/1000,1)</f>
        <v>376436.8</v>
      </c>
      <c r="G311" s="118">
        <f>ROUND(377346622/1000,1)</f>
        <v>377346.6</v>
      </c>
      <c r="H311" s="110">
        <f t="shared" si="0"/>
        <v>1129325.2999999998</v>
      </c>
    </row>
    <row r="312" spans="1:8" ht="40.5" customHeight="1">
      <c r="A312" s="101"/>
      <c r="B312" s="100"/>
      <c r="C312" s="122" t="s">
        <v>1324</v>
      </c>
      <c r="D312" s="118"/>
      <c r="E312" s="118">
        <v>0</v>
      </c>
      <c r="F312" s="118">
        <v>0</v>
      </c>
      <c r="G312" s="118">
        <v>0</v>
      </c>
      <c r="H312" s="110">
        <f t="shared" si="0"/>
        <v>0</v>
      </c>
    </row>
    <row r="313" spans="1:8" ht="40.5" customHeight="1">
      <c r="A313" s="101"/>
      <c r="B313" s="100"/>
      <c r="C313" s="122" t="s">
        <v>1325</v>
      </c>
      <c r="D313" s="112"/>
      <c r="E313" s="123">
        <v>0</v>
      </c>
      <c r="F313" s="123">
        <v>0</v>
      </c>
      <c r="G313" s="123">
        <v>0</v>
      </c>
      <c r="H313" s="110">
        <f t="shared" si="0"/>
        <v>0</v>
      </c>
    </row>
    <row r="314" spans="1:8" ht="40.5" customHeight="1">
      <c r="A314" s="101"/>
      <c r="B314" s="100"/>
      <c r="C314" s="125" t="s">
        <v>1326</v>
      </c>
      <c r="D314" s="118"/>
      <c r="E314" s="123">
        <v>0</v>
      </c>
      <c r="F314" s="123">
        <v>0</v>
      </c>
      <c r="G314" s="123">
        <v>0</v>
      </c>
      <c r="H314" s="110">
        <f t="shared" si="0"/>
        <v>0</v>
      </c>
    </row>
    <row r="315" spans="1:8" ht="40.5" customHeight="1">
      <c r="A315" s="101"/>
      <c r="B315" s="100"/>
      <c r="C315" s="122" t="s">
        <v>1327</v>
      </c>
      <c r="D315" s="112"/>
      <c r="E315" s="123">
        <v>0</v>
      </c>
      <c r="F315" s="123">
        <v>0</v>
      </c>
      <c r="G315" s="123">
        <v>0</v>
      </c>
      <c r="H315" s="110">
        <f t="shared" si="0"/>
        <v>0</v>
      </c>
    </row>
    <row r="316" spans="1:8" ht="40.5" customHeight="1">
      <c r="A316" s="101"/>
      <c r="B316" s="100"/>
      <c r="C316" s="122" t="s">
        <v>1328</v>
      </c>
      <c r="D316" s="112"/>
      <c r="E316" s="123">
        <v>0</v>
      </c>
      <c r="F316" s="123">
        <v>0</v>
      </c>
      <c r="G316" s="123">
        <v>0</v>
      </c>
      <c r="H316" s="110">
        <f t="shared" si="0"/>
        <v>0</v>
      </c>
    </row>
    <row r="317" spans="1:8" ht="40.5" customHeight="1">
      <c r="A317" s="101" t="s">
        <v>1056</v>
      </c>
      <c r="B317" s="100" t="s">
        <v>1057</v>
      </c>
      <c r="C317" s="120" t="s">
        <v>1322</v>
      </c>
      <c r="D317" s="109"/>
      <c r="E317" s="121">
        <f>SUM(E318:E323)</f>
        <v>105.6</v>
      </c>
      <c r="F317" s="121">
        <f>SUM(F318:F323)</f>
        <v>116.6</v>
      </c>
      <c r="G317" s="121">
        <f>SUM(G318:G323)</f>
        <v>116.6</v>
      </c>
      <c r="H317" s="110">
        <f t="shared" si="0"/>
        <v>338.79999999999995</v>
      </c>
    </row>
    <row r="318" spans="1:8" ht="40.5" customHeight="1">
      <c r="A318" s="101"/>
      <c r="B318" s="100"/>
      <c r="C318" s="122" t="s">
        <v>1323</v>
      </c>
      <c r="D318" s="112"/>
      <c r="E318" s="118">
        <f>ROUND(105600/1000,1)</f>
        <v>105.6</v>
      </c>
      <c r="F318" s="118">
        <f>ROUND(116646/1000,1)</f>
        <v>116.6</v>
      </c>
      <c r="G318" s="118">
        <f>ROUND(116646/1000,1)</f>
        <v>116.6</v>
      </c>
      <c r="H318" s="110">
        <f t="shared" si="0"/>
        <v>338.79999999999995</v>
      </c>
    </row>
    <row r="319" spans="1:8" ht="40.5" customHeight="1">
      <c r="A319" s="101"/>
      <c r="B319" s="100"/>
      <c r="C319" s="122" t="s">
        <v>1324</v>
      </c>
      <c r="D319" s="118"/>
      <c r="E319" s="118">
        <v>0</v>
      </c>
      <c r="F319" s="118">
        <v>0</v>
      </c>
      <c r="G319" s="118">
        <v>0</v>
      </c>
      <c r="H319" s="110">
        <f t="shared" si="0"/>
        <v>0</v>
      </c>
    </row>
    <row r="320" spans="1:8" ht="40.5" customHeight="1">
      <c r="A320" s="101"/>
      <c r="B320" s="100"/>
      <c r="C320" s="122" t="s">
        <v>1325</v>
      </c>
      <c r="D320" s="112"/>
      <c r="E320" s="123">
        <v>0</v>
      </c>
      <c r="F320" s="123">
        <v>0</v>
      </c>
      <c r="G320" s="123">
        <v>0</v>
      </c>
      <c r="H320" s="110">
        <f t="shared" si="0"/>
        <v>0</v>
      </c>
    </row>
    <row r="321" spans="1:8" ht="40.5" customHeight="1">
      <c r="A321" s="101"/>
      <c r="B321" s="100"/>
      <c r="C321" s="125" t="s">
        <v>1326</v>
      </c>
      <c r="D321" s="118"/>
      <c r="E321" s="123">
        <v>0</v>
      </c>
      <c r="F321" s="123">
        <v>0</v>
      </c>
      <c r="G321" s="123">
        <v>0</v>
      </c>
      <c r="H321" s="110">
        <f t="shared" si="0"/>
        <v>0</v>
      </c>
    </row>
    <row r="322" spans="1:8" ht="40.5" customHeight="1">
      <c r="A322" s="101"/>
      <c r="B322" s="100"/>
      <c r="C322" s="122" t="s">
        <v>1327</v>
      </c>
      <c r="D322" s="112"/>
      <c r="E322" s="123">
        <v>0</v>
      </c>
      <c r="F322" s="123">
        <v>0</v>
      </c>
      <c r="G322" s="123">
        <v>0</v>
      </c>
      <c r="H322" s="110">
        <f t="shared" si="0"/>
        <v>0</v>
      </c>
    </row>
    <row r="323" spans="1:8" ht="40.5" customHeight="1">
      <c r="A323" s="101"/>
      <c r="B323" s="100"/>
      <c r="C323" s="122" t="s">
        <v>1328</v>
      </c>
      <c r="D323" s="112"/>
      <c r="E323" s="123">
        <v>0</v>
      </c>
      <c r="F323" s="123">
        <v>0</v>
      </c>
      <c r="G323" s="123">
        <v>0</v>
      </c>
      <c r="H323" s="110">
        <f t="shared" si="0"/>
        <v>0</v>
      </c>
    </row>
    <row r="324" spans="1:8" ht="40.5" customHeight="1">
      <c r="A324" s="101" t="s">
        <v>1059</v>
      </c>
      <c r="B324" s="130" t="s">
        <v>1060</v>
      </c>
      <c r="C324" s="120" t="s">
        <v>1322</v>
      </c>
      <c r="D324" s="109"/>
      <c r="E324" s="121">
        <f>SUM(E325:E330)</f>
        <v>8544.1</v>
      </c>
      <c r="F324" s="121">
        <f>SUM(F325:F330)</f>
        <v>8582.7</v>
      </c>
      <c r="G324" s="121">
        <f>SUM(G325:G330)</f>
        <v>8621.9</v>
      </c>
      <c r="H324" s="110">
        <f t="shared" si="0"/>
        <v>25748.700000000004</v>
      </c>
    </row>
    <row r="325" spans="1:8" ht="40.5" customHeight="1">
      <c r="A325" s="101"/>
      <c r="B325" s="101"/>
      <c r="C325" s="122" t="s">
        <v>1323</v>
      </c>
      <c r="D325" s="112"/>
      <c r="E325" s="118">
        <f>ROUND(8544061/1000,1)</f>
        <v>8544.1</v>
      </c>
      <c r="F325" s="118">
        <f>ROUND(8582672/1000,1)</f>
        <v>8582.7</v>
      </c>
      <c r="G325" s="118">
        <f>ROUND(8621925/1000,1)</f>
        <v>8621.9</v>
      </c>
      <c r="H325" s="110">
        <f t="shared" si="0"/>
        <v>25748.700000000004</v>
      </c>
    </row>
    <row r="326" spans="1:8" ht="40.5" customHeight="1">
      <c r="A326" s="101"/>
      <c r="B326" s="101"/>
      <c r="C326" s="122" t="s">
        <v>1324</v>
      </c>
      <c r="D326" s="118"/>
      <c r="E326" s="118">
        <v>0</v>
      </c>
      <c r="F326" s="118">
        <v>0</v>
      </c>
      <c r="G326" s="118">
        <v>0</v>
      </c>
      <c r="H326" s="110">
        <f t="shared" si="0"/>
        <v>0</v>
      </c>
    </row>
    <row r="327" spans="1:8" ht="40.5" customHeight="1">
      <c r="A327" s="101"/>
      <c r="B327" s="101"/>
      <c r="C327" s="122" t="s">
        <v>1325</v>
      </c>
      <c r="D327" s="112"/>
      <c r="E327" s="123">
        <v>0</v>
      </c>
      <c r="F327" s="123">
        <v>0</v>
      </c>
      <c r="G327" s="123">
        <v>0</v>
      </c>
      <c r="H327" s="110">
        <f t="shared" si="0"/>
        <v>0</v>
      </c>
    </row>
    <row r="328" spans="1:8" ht="40.5" customHeight="1">
      <c r="A328" s="101"/>
      <c r="B328" s="101"/>
      <c r="C328" s="125" t="s">
        <v>1326</v>
      </c>
      <c r="D328" s="118"/>
      <c r="E328" s="123">
        <v>0</v>
      </c>
      <c r="F328" s="123">
        <v>0</v>
      </c>
      <c r="G328" s="123">
        <v>0</v>
      </c>
      <c r="H328" s="110">
        <f t="shared" si="0"/>
        <v>0</v>
      </c>
    </row>
    <row r="329" spans="1:8" ht="40.5" customHeight="1">
      <c r="A329" s="101"/>
      <c r="B329" s="101"/>
      <c r="C329" s="122" t="s">
        <v>1327</v>
      </c>
      <c r="D329" s="112"/>
      <c r="E329" s="123">
        <v>0</v>
      </c>
      <c r="F329" s="123">
        <v>0</v>
      </c>
      <c r="G329" s="123">
        <v>0</v>
      </c>
      <c r="H329" s="110">
        <f t="shared" si="0"/>
        <v>0</v>
      </c>
    </row>
    <row r="330" spans="1:8" ht="40.5" customHeight="1">
      <c r="A330" s="101"/>
      <c r="B330" s="101"/>
      <c r="C330" s="122" t="s">
        <v>1328</v>
      </c>
      <c r="D330" s="112"/>
      <c r="E330" s="123">
        <v>0</v>
      </c>
      <c r="F330" s="123">
        <v>0</v>
      </c>
      <c r="G330" s="123">
        <v>0</v>
      </c>
      <c r="H330" s="110">
        <f t="shared" si="0"/>
        <v>0</v>
      </c>
    </row>
    <row r="331" spans="1:8" s="127" customFormat="1" ht="40.5" customHeight="1">
      <c r="A331" s="106" t="s">
        <v>1062</v>
      </c>
      <c r="B331" s="114" t="s">
        <v>1063</v>
      </c>
      <c r="C331" s="115" t="s">
        <v>1322</v>
      </c>
      <c r="D331" s="109"/>
      <c r="E331" s="109">
        <f>SUM(E332:E337)</f>
        <v>1337690.8</v>
      </c>
      <c r="F331" s="109">
        <f>SUM(F332:F337)</f>
        <v>834342.2000000001</v>
      </c>
      <c r="G331" s="109">
        <f>SUM(G332:G337)</f>
        <v>350937.30000000005</v>
      </c>
      <c r="H331" s="110">
        <f t="shared" si="0"/>
        <v>2522970.3</v>
      </c>
    </row>
    <row r="332" spans="1:10" s="127" customFormat="1" ht="40.5" customHeight="1">
      <c r="A332" s="106"/>
      <c r="B332" s="114"/>
      <c r="C332" s="108" t="s">
        <v>1323</v>
      </c>
      <c r="D332" s="112"/>
      <c r="E332" s="112">
        <f>'ТАБЛИЦА 6'!I129</f>
        <v>1112033.8</v>
      </c>
      <c r="F332" s="112">
        <f>'ТАБЛИЦА 6'!J129</f>
        <v>583044.8</v>
      </c>
      <c r="G332" s="112">
        <f>'ТАБЛИЦА 6'!K129</f>
        <v>84072.6</v>
      </c>
      <c r="H332" s="110">
        <f t="shared" si="0"/>
        <v>1779151.2000000002</v>
      </c>
      <c r="J332" s="129"/>
    </row>
    <row r="333" spans="1:8" s="127" customFormat="1" ht="40.5" customHeight="1">
      <c r="A333" s="106"/>
      <c r="B333" s="114"/>
      <c r="C333" s="108" t="s">
        <v>1324</v>
      </c>
      <c r="D333" s="118"/>
      <c r="E333" s="118">
        <v>0</v>
      </c>
      <c r="F333" s="118">
        <v>0</v>
      </c>
      <c r="G333" s="118">
        <v>0</v>
      </c>
      <c r="H333" s="110">
        <f t="shared" si="0"/>
        <v>0</v>
      </c>
    </row>
    <row r="334" spans="1:8" s="127" customFormat="1" ht="40.5" customHeight="1">
      <c r="A334" s="106"/>
      <c r="B334" s="114"/>
      <c r="C334" s="108" t="s">
        <v>1325</v>
      </c>
      <c r="D334" s="112"/>
      <c r="E334" s="112">
        <v>0</v>
      </c>
      <c r="F334" s="112">
        <v>0</v>
      </c>
      <c r="G334" s="112">
        <v>0</v>
      </c>
      <c r="H334" s="110">
        <f t="shared" si="0"/>
        <v>0</v>
      </c>
    </row>
    <row r="335" spans="1:8" s="127" customFormat="1" ht="40.5" customHeight="1">
      <c r="A335" s="106"/>
      <c r="B335" s="114"/>
      <c r="C335" s="113" t="s">
        <v>1326</v>
      </c>
      <c r="D335" s="118"/>
      <c r="E335" s="112">
        <v>225657</v>
      </c>
      <c r="F335" s="112">
        <v>251297.4</v>
      </c>
      <c r="G335" s="112">
        <v>266864.7</v>
      </c>
      <c r="H335" s="110">
        <f t="shared" si="0"/>
        <v>743819.1000000001</v>
      </c>
    </row>
    <row r="336" spans="1:8" s="127" customFormat="1" ht="40.5" customHeight="1">
      <c r="A336" s="106"/>
      <c r="B336" s="114"/>
      <c r="C336" s="108" t="s">
        <v>1327</v>
      </c>
      <c r="D336" s="112"/>
      <c r="E336" s="112">
        <v>0</v>
      </c>
      <c r="F336" s="112">
        <v>0</v>
      </c>
      <c r="G336" s="112">
        <v>0</v>
      </c>
      <c r="H336" s="110">
        <f t="shared" si="0"/>
        <v>0</v>
      </c>
    </row>
    <row r="337" spans="1:8" s="127" customFormat="1" ht="40.5" customHeight="1">
      <c r="A337" s="106"/>
      <c r="B337" s="114"/>
      <c r="C337" s="108" t="s">
        <v>1328</v>
      </c>
      <c r="D337" s="112"/>
      <c r="E337" s="112">
        <v>0</v>
      </c>
      <c r="F337" s="112">
        <v>0</v>
      </c>
      <c r="G337" s="112">
        <v>0</v>
      </c>
      <c r="H337" s="110">
        <f t="shared" si="0"/>
        <v>0</v>
      </c>
    </row>
    <row r="338" spans="1:8" ht="40.5" customHeight="1">
      <c r="A338" s="101" t="s">
        <v>1092</v>
      </c>
      <c r="B338" s="119" t="s">
        <v>1093</v>
      </c>
      <c r="C338" s="120" t="s">
        <v>1322</v>
      </c>
      <c r="D338" s="109"/>
      <c r="E338" s="121">
        <f>SUM(E339:E344)</f>
        <v>36391.8</v>
      </c>
      <c r="F338" s="121">
        <f>SUM(F339:F344)</f>
        <v>36810.9</v>
      </c>
      <c r="G338" s="121">
        <f>SUM(G339:G344)</f>
        <v>37237</v>
      </c>
      <c r="H338" s="110">
        <f t="shared" si="0"/>
        <v>110439.70000000001</v>
      </c>
    </row>
    <row r="339" spans="1:8" ht="40.5" customHeight="1">
      <c r="A339" s="101"/>
      <c r="B339" s="119"/>
      <c r="C339" s="122" t="s">
        <v>1323</v>
      </c>
      <c r="D339" s="112"/>
      <c r="E339" s="118">
        <f>ROUND(36391808/1000,1)</f>
        <v>36391.8</v>
      </c>
      <c r="F339" s="118">
        <f>ROUND(36810931/1000,1)</f>
        <v>36810.9</v>
      </c>
      <c r="G339" s="118">
        <f>ROUND(37237027/1000,1)</f>
        <v>37237</v>
      </c>
      <c r="H339" s="110">
        <f t="shared" si="0"/>
        <v>110439.70000000001</v>
      </c>
    </row>
    <row r="340" spans="1:8" ht="40.5" customHeight="1">
      <c r="A340" s="101"/>
      <c r="B340" s="119"/>
      <c r="C340" s="122" t="s">
        <v>1324</v>
      </c>
      <c r="D340" s="118"/>
      <c r="E340" s="118">
        <v>0</v>
      </c>
      <c r="F340" s="118">
        <v>0</v>
      </c>
      <c r="G340" s="118">
        <v>0</v>
      </c>
      <c r="H340" s="110">
        <f t="shared" si="0"/>
        <v>0</v>
      </c>
    </row>
    <row r="341" spans="1:8" ht="40.5" customHeight="1">
      <c r="A341" s="101"/>
      <c r="B341" s="119"/>
      <c r="C341" s="122" t="s">
        <v>1325</v>
      </c>
      <c r="D341" s="112"/>
      <c r="E341" s="123">
        <v>0</v>
      </c>
      <c r="F341" s="123">
        <v>0</v>
      </c>
      <c r="G341" s="123">
        <v>0</v>
      </c>
      <c r="H341" s="110">
        <f t="shared" si="0"/>
        <v>0</v>
      </c>
    </row>
    <row r="342" spans="1:8" ht="40.5" customHeight="1">
      <c r="A342" s="101"/>
      <c r="B342" s="119"/>
      <c r="C342" s="125" t="s">
        <v>1326</v>
      </c>
      <c r="D342" s="118"/>
      <c r="E342" s="123">
        <v>0</v>
      </c>
      <c r="F342" s="123">
        <v>0</v>
      </c>
      <c r="G342" s="123">
        <v>0</v>
      </c>
      <c r="H342" s="110">
        <f t="shared" si="0"/>
        <v>0</v>
      </c>
    </row>
    <row r="343" spans="1:8" ht="40.5" customHeight="1">
      <c r="A343" s="101"/>
      <c r="B343" s="119"/>
      <c r="C343" s="122" t="s">
        <v>1327</v>
      </c>
      <c r="D343" s="112"/>
      <c r="E343" s="123">
        <v>0</v>
      </c>
      <c r="F343" s="123">
        <v>0</v>
      </c>
      <c r="G343" s="123">
        <v>0</v>
      </c>
      <c r="H343" s="110">
        <f t="shared" si="0"/>
        <v>0</v>
      </c>
    </row>
    <row r="344" spans="1:8" ht="40.5" customHeight="1">
      <c r="A344" s="101"/>
      <c r="B344" s="119"/>
      <c r="C344" s="122" t="s">
        <v>1328</v>
      </c>
      <c r="D344" s="112"/>
      <c r="E344" s="123">
        <v>0</v>
      </c>
      <c r="F344" s="123">
        <v>0</v>
      </c>
      <c r="G344" s="123">
        <v>0</v>
      </c>
      <c r="H344" s="110">
        <f t="shared" si="0"/>
        <v>0</v>
      </c>
    </row>
    <row r="345" spans="1:8" ht="40.5" customHeight="1">
      <c r="A345" s="101" t="s">
        <v>1344</v>
      </c>
      <c r="B345" s="119" t="s">
        <v>1106</v>
      </c>
      <c r="C345" s="120" t="s">
        <v>1322</v>
      </c>
      <c r="D345" s="109"/>
      <c r="E345" s="121">
        <f>SUM(E346:E351)</f>
        <v>32082.7</v>
      </c>
      <c r="F345" s="121">
        <f>SUM(F346:F351)</f>
        <v>32674.6</v>
      </c>
      <c r="G345" s="121">
        <f>SUM(G346:G351)</f>
        <v>33276.3</v>
      </c>
      <c r="H345" s="110">
        <f t="shared" si="0"/>
        <v>98033.6</v>
      </c>
    </row>
    <row r="346" spans="1:8" ht="40.5" customHeight="1">
      <c r="A346" s="101"/>
      <c r="B346" s="101"/>
      <c r="C346" s="122" t="s">
        <v>1323</v>
      </c>
      <c r="D346" s="112"/>
      <c r="E346" s="118">
        <f>ROUND(32082670/1000,1)</f>
        <v>32082.7</v>
      </c>
      <c r="F346" s="118">
        <f>ROUND(32674578/1000,1)</f>
        <v>32674.6</v>
      </c>
      <c r="G346" s="118">
        <f>ROUND(33276335/1000,1)</f>
        <v>33276.3</v>
      </c>
      <c r="H346" s="110">
        <f t="shared" si="0"/>
        <v>98033.6</v>
      </c>
    </row>
    <row r="347" spans="1:8" ht="40.5" customHeight="1">
      <c r="A347" s="101"/>
      <c r="B347" s="101"/>
      <c r="C347" s="122" t="s">
        <v>1324</v>
      </c>
      <c r="D347" s="118"/>
      <c r="E347" s="118">
        <v>0</v>
      </c>
      <c r="F347" s="118">
        <v>0</v>
      </c>
      <c r="G347" s="118">
        <v>0</v>
      </c>
      <c r="H347" s="110">
        <f t="shared" si="0"/>
        <v>0</v>
      </c>
    </row>
    <row r="348" spans="1:8" ht="40.5" customHeight="1">
      <c r="A348" s="101"/>
      <c r="B348" s="101"/>
      <c r="C348" s="122" t="s">
        <v>1325</v>
      </c>
      <c r="D348" s="112"/>
      <c r="E348" s="123">
        <v>0</v>
      </c>
      <c r="F348" s="123">
        <v>0</v>
      </c>
      <c r="G348" s="123">
        <v>0</v>
      </c>
      <c r="H348" s="110">
        <f t="shared" si="0"/>
        <v>0</v>
      </c>
    </row>
    <row r="349" spans="1:8" ht="40.5" customHeight="1">
      <c r="A349" s="101"/>
      <c r="B349" s="101"/>
      <c r="C349" s="125" t="s">
        <v>1326</v>
      </c>
      <c r="D349" s="118"/>
      <c r="E349" s="123">
        <v>0</v>
      </c>
      <c r="F349" s="123">
        <v>0</v>
      </c>
      <c r="G349" s="123">
        <v>0</v>
      </c>
      <c r="H349" s="110">
        <f t="shared" si="0"/>
        <v>0</v>
      </c>
    </row>
    <row r="350" spans="1:8" ht="40.5" customHeight="1">
      <c r="A350" s="101"/>
      <c r="B350" s="101"/>
      <c r="C350" s="122" t="s">
        <v>1327</v>
      </c>
      <c r="D350" s="112"/>
      <c r="E350" s="123">
        <v>0</v>
      </c>
      <c r="F350" s="123">
        <v>0</v>
      </c>
      <c r="G350" s="123">
        <v>0</v>
      </c>
      <c r="H350" s="110">
        <f t="shared" si="0"/>
        <v>0</v>
      </c>
    </row>
    <row r="351" spans="1:8" ht="40.5" customHeight="1">
      <c r="A351" s="101"/>
      <c r="B351" s="101"/>
      <c r="C351" s="122" t="s">
        <v>1328</v>
      </c>
      <c r="D351" s="112"/>
      <c r="E351" s="123">
        <v>0</v>
      </c>
      <c r="F351" s="123">
        <v>0</v>
      </c>
      <c r="G351" s="123">
        <v>0</v>
      </c>
      <c r="H351" s="110">
        <f t="shared" si="0"/>
        <v>0</v>
      </c>
    </row>
    <row r="352" spans="1:8" ht="40.5" customHeight="1">
      <c r="A352" s="101" t="s">
        <v>1108</v>
      </c>
      <c r="B352" s="126" t="s">
        <v>813</v>
      </c>
      <c r="C352" s="120" t="s">
        <v>1322</v>
      </c>
      <c r="D352" s="109"/>
      <c r="E352" s="121">
        <f>SUM(E353:E358)</f>
        <v>1030000</v>
      </c>
      <c r="F352" s="121">
        <f>SUM(F353:F358)</f>
        <v>500000</v>
      </c>
      <c r="G352" s="121">
        <f>SUM(G353:G358)</f>
        <v>0</v>
      </c>
      <c r="H352" s="110">
        <f t="shared" si="0"/>
        <v>1530000</v>
      </c>
    </row>
    <row r="353" spans="1:8" ht="40.5" customHeight="1">
      <c r="A353" s="101"/>
      <c r="B353" s="126"/>
      <c r="C353" s="122" t="s">
        <v>1323</v>
      </c>
      <c r="D353" s="112"/>
      <c r="E353" s="118">
        <f>'[1]Таблица 7а'!$J$78</f>
        <v>1030000</v>
      </c>
      <c r="F353" s="118">
        <f>'[1]Таблица 7а'!$K$78</f>
        <v>500000</v>
      </c>
      <c r="G353" s="118">
        <f>'[1]Таблица 7а'!$L$78</f>
        <v>0</v>
      </c>
      <c r="H353" s="110">
        <f t="shared" si="0"/>
        <v>1530000</v>
      </c>
    </row>
    <row r="354" spans="1:8" ht="40.5" customHeight="1">
      <c r="A354" s="101"/>
      <c r="B354" s="126"/>
      <c r="C354" s="122" t="s">
        <v>1324</v>
      </c>
      <c r="D354" s="118"/>
      <c r="E354" s="118">
        <v>0</v>
      </c>
      <c r="F354" s="118">
        <v>0</v>
      </c>
      <c r="G354" s="118">
        <v>0</v>
      </c>
      <c r="H354" s="110">
        <f t="shared" si="0"/>
        <v>0</v>
      </c>
    </row>
    <row r="355" spans="1:8" ht="40.5" customHeight="1">
      <c r="A355" s="101"/>
      <c r="B355" s="126"/>
      <c r="C355" s="122" t="s">
        <v>1325</v>
      </c>
      <c r="D355" s="112"/>
      <c r="E355" s="123">
        <v>0</v>
      </c>
      <c r="F355" s="123">
        <v>0</v>
      </c>
      <c r="G355" s="123">
        <v>0</v>
      </c>
      <c r="H355" s="110">
        <f t="shared" si="0"/>
        <v>0</v>
      </c>
    </row>
    <row r="356" spans="1:8" ht="40.5" customHeight="1">
      <c r="A356" s="101"/>
      <c r="B356" s="126"/>
      <c r="C356" s="125" t="s">
        <v>1326</v>
      </c>
      <c r="D356" s="118"/>
      <c r="E356" s="123">
        <v>0</v>
      </c>
      <c r="F356" s="123">
        <v>0</v>
      </c>
      <c r="G356" s="123">
        <v>0</v>
      </c>
      <c r="H356" s="110">
        <f t="shared" si="0"/>
        <v>0</v>
      </c>
    </row>
    <row r="357" spans="1:8" ht="40.5" customHeight="1">
      <c r="A357" s="101"/>
      <c r="B357" s="126"/>
      <c r="C357" s="122" t="s">
        <v>1327</v>
      </c>
      <c r="D357" s="112"/>
      <c r="E357" s="123">
        <v>0</v>
      </c>
      <c r="F357" s="123">
        <v>0</v>
      </c>
      <c r="G357" s="123">
        <v>0</v>
      </c>
      <c r="H357" s="110">
        <f t="shared" si="0"/>
        <v>0</v>
      </c>
    </row>
    <row r="358" spans="1:8" ht="40.5" customHeight="1">
      <c r="A358" s="101"/>
      <c r="B358" s="126"/>
      <c r="C358" s="122" t="s">
        <v>1328</v>
      </c>
      <c r="D358" s="112"/>
      <c r="E358" s="123">
        <v>0</v>
      </c>
      <c r="F358" s="123">
        <v>0</v>
      </c>
      <c r="G358" s="123">
        <v>0</v>
      </c>
      <c r="H358" s="110">
        <f t="shared" si="0"/>
        <v>0</v>
      </c>
    </row>
    <row r="359" spans="1:8" ht="40.5" customHeight="1">
      <c r="A359" s="101" t="s">
        <v>1110</v>
      </c>
      <c r="B359" s="119" t="s">
        <v>1111</v>
      </c>
      <c r="C359" s="120" t="s">
        <v>1322</v>
      </c>
      <c r="D359" s="109"/>
      <c r="E359" s="121">
        <f>SUM(E360:E365)</f>
        <v>13559.3</v>
      </c>
      <c r="F359" s="121">
        <f>SUM(F360:F365)</f>
        <v>13559.3</v>
      </c>
      <c r="G359" s="121">
        <f>SUM(G360:G365)</f>
        <v>13559.3</v>
      </c>
      <c r="H359" s="110">
        <f t="shared" si="0"/>
        <v>40677.899999999994</v>
      </c>
    </row>
    <row r="360" spans="1:8" ht="40.5" customHeight="1">
      <c r="A360" s="101"/>
      <c r="B360" s="119"/>
      <c r="C360" s="122" t="s">
        <v>1323</v>
      </c>
      <c r="D360" s="112"/>
      <c r="E360" s="118">
        <f>ROUND(13559273/1000,1)</f>
        <v>13559.3</v>
      </c>
      <c r="F360" s="118">
        <f>ROUND(13559273/1000,1)</f>
        <v>13559.3</v>
      </c>
      <c r="G360" s="118">
        <f>ROUND(13559273/1000,1)</f>
        <v>13559.3</v>
      </c>
      <c r="H360" s="110">
        <f t="shared" si="0"/>
        <v>40677.899999999994</v>
      </c>
    </row>
    <row r="361" spans="1:8" ht="40.5" customHeight="1">
      <c r="A361" s="101"/>
      <c r="B361" s="119"/>
      <c r="C361" s="122" t="s">
        <v>1324</v>
      </c>
      <c r="D361" s="118"/>
      <c r="E361" s="118">
        <v>0</v>
      </c>
      <c r="F361" s="118">
        <v>0</v>
      </c>
      <c r="G361" s="118">
        <v>0</v>
      </c>
      <c r="H361" s="110">
        <f t="shared" si="0"/>
        <v>0</v>
      </c>
    </row>
    <row r="362" spans="1:8" ht="40.5" customHeight="1">
      <c r="A362" s="101"/>
      <c r="B362" s="119"/>
      <c r="C362" s="122" t="s">
        <v>1325</v>
      </c>
      <c r="D362" s="112"/>
      <c r="E362" s="123">
        <v>0</v>
      </c>
      <c r="F362" s="123">
        <v>0</v>
      </c>
      <c r="G362" s="123">
        <v>0</v>
      </c>
      <c r="H362" s="110">
        <f t="shared" si="0"/>
        <v>0</v>
      </c>
    </row>
    <row r="363" spans="1:8" ht="40.5" customHeight="1">
      <c r="A363" s="101"/>
      <c r="B363" s="119"/>
      <c r="C363" s="125" t="s">
        <v>1326</v>
      </c>
      <c r="D363" s="118"/>
      <c r="E363" s="123">
        <v>0</v>
      </c>
      <c r="F363" s="123">
        <v>0</v>
      </c>
      <c r="G363" s="123">
        <v>0</v>
      </c>
      <c r="H363" s="110">
        <f t="shared" si="0"/>
        <v>0</v>
      </c>
    </row>
    <row r="364" spans="1:8" ht="40.5" customHeight="1">
      <c r="A364" s="101"/>
      <c r="B364" s="119"/>
      <c r="C364" s="122" t="s">
        <v>1327</v>
      </c>
      <c r="D364" s="112"/>
      <c r="E364" s="123">
        <v>0</v>
      </c>
      <c r="F364" s="123">
        <v>0</v>
      </c>
      <c r="G364" s="123">
        <v>0</v>
      </c>
      <c r="H364" s="110">
        <f t="shared" si="0"/>
        <v>0</v>
      </c>
    </row>
    <row r="365" spans="1:8" ht="40.5" customHeight="1">
      <c r="A365" s="101"/>
      <c r="B365" s="119"/>
      <c r="C365" s="122" t="s">
        <v>1328</v>
      </c>
      <c r="D365" s="112"/>
      <c r="E365" s="123">
        <v>0</v>
      </c>
      <c r="F365" s="123">
        <v>0</v>
      </c>
      <c r="G365" s="123">
        <v>0</v>
      </c>
      <c r="H365" s="110">
        <f t="shared" si="0"/>
        <v>0</v>
      </c>
    </row>
    <row r="366" spans="1:8" s="127" customFormat="1" ht="40.5" customHeight="1">
      <c r="A366" s="106" t="s">
        <v>1119</v>
      </c>
      <c r="B366" s="114" t="s">
        <v>1120</v>
      </c>
      <c r="C366" s="115" t="s">
        <v>1322</v>
      </c>
      <c r="D366" s="109"/>
      <c r="E366" s="109">
        <f>SUM(E367:E372)</f>
        <v>207439.4</v>
      </c>
      <c r="F366" s="109">
        <f>SUM(F367:F372)</f>
        <v>209211.5</v>
      </c>
      <c r="G366" s="109">
        <f>SUM(G367:G372)</f>
        <v>211013.1</v>
      </c>
      <c r="H366" s="110">
        <f t="shared" si="0"/>
        <v>627664</v>
      </c>
    </row>
    <row r="367" spans="1:10" s="127" customFormat="1" ht="40.5" customHeight="1">
      <c r="A367" s="106"/>
      <c r="B367" s="114"/>
      <c r="C367" s="108" t="s">
        <v>1323</v>
      </c>
      <c r="D367" s="112"/>
      <c r="E367" s="112">
        <f>'ТАБЛИЦА 6'!I157</f>
        <v>207439.4</v>
      </c>
      <c r="F367" s="112">
        <f>'ТАБЛИЦА 6'!J157</f>
        <v>209211.5</v>
      </c>
      <c r="G367" s="112">
        <f>'ТАБЛИЦА 6'!K157</f>
        <v>211013.1</v>
      </c>
      <c r="H367" s="110">
        <f t="shared" si="0"/>
        <v>627664</v>
      </c>
      <c r="J367" s="129"/>
    </row>
    <row r="368" spans="1:8" s="127" customFormat="1" ht="40.5" customHeight="1">
      <c r="A368" s="106"/>
      <c r="B368" s="114"/>
      <c r="C368" s="108" t="s">
        <v>1324</v>
      </c>
      <c r="D368" s="118"/>
      <c r="E368" s="118">
        <v>0</v>
      </c>
      <c r="F368" s="118">
        <v>0</v>
      </c>
      <c r="G368" s="118">
        <v>0</v>
      </c>
      <c r="H368" s="110">
        <f t="shared" si="0"/>
        <v>0</v>
      </c>
    </row>
    <row r="369" spans="1:8" s="127" customFormat="1" ht="40.5" customHeight="1">
      <c r="A369" s="106"/>
      <c r="B369" s="114"/>
      <c r="C369" s="108" t="s">
        <v>1325</v>
      </c>
      <c r="D369" s="112"/>
      <c r="E369" s="112">
        <v>0</v>
      </c>
      <c r="F369" s="112">
        <v>0</v>
      </c>
      <c r="G369" s="112">
        <v>0</v>
      </c>
      <c r="H369" s="110">
        <f t="shared" si="0"/>
        <v>0</v>
      </c>
    </row>
    <row r="370" spans="1:8" s="127" customFormat="1" ht="40.5" customHeight="1">
      <c r="A370" s="106"/>
      <c r="B370" s="114"/>
      <c r="C370" s="113" t="s">
        <v>1326</v>
      </c>
      <c r="D370" s="118"/>
      <c r="E370" s="118">
        <v>0</v>
      </c>
      <c r="F370" s="118">
        <v>0</v>
      </c>
      <c r="G370" s="118">
        <v>0</v>
      </c>
      <c r="H370" s="110">
        <f t="shared" si="0"/>
        <v>0</v>
      </c>
    </row>
    <row r="371" spans="1:8" s="127" customFormat="1" ht="40.5" customHeight="1">
      <c r="A371" s="106"/>
      <c r="B371" s="114"/>
      <c r="C371" s="108" t="s">
        <v>1327</v>
      </c>
      <c r="D371" s="112"/>
      <c r="E371" s="112">
        <v>0</v>
      </c>
      <c r="F371" s="112">
        <v>0</v>
      </c>
      <c r="G371" s="112">
        <v>0</v>
      </c>
      <c r="H371" s="110">
        <f t="shared" si="0"/>
        <v>0</v>
      </c>
    </row>
    <row r="372" spans="1:8" s="127" customFormat="1" ht="40.5" customHeight="1">
      <c r="A372" s="106"/>
      <c r="B372" s="114"/>
      <c r="C372" s="108" t="s">
        <v>1328</v>
      </c>
      <c r="D372" s="112"/>
      <c r="E372" s="112">
        <v>0</v>
      </c>
      <c r="F372" s="112">
        <v>0</v>
      </c>
      <c r="G372" s="112">
        <v>0</v>
      </c>
      <c r="H372" s="110">
        <f t="shared" si="0"/>
        <v>0</v>
      </c>
    </row>
    <row r="373" spans="1:8" ht="40.5" customHeight="1">
      <c r="A373" s="101" t="s">
        <v>1121</v>
      </c>
      <c r="B373" s="100" t="s">
        <v>1345</v>
      </c>
      <c r="C373" s="120" t="s">
        <v>1322</v>
      </c>
      <c r="D373" s="109"/>
      <c r="E373" s="121">
        <f>SUM(E374:E379)</f>
        <v>63312</v>
      </c>
      <c r="F373" s="121">
        <f>SUM(F374:F379)</f>
        <v>63312</v>
      </c>
      <c r="G373" s="121">
        <f>SUM(G374:G379)</f>
        <v>63312</v>
      </c>
      <c r="H373" s="110">
        <f t="shared" si="0"/>
        <v>189936</v>
      </c>
    </row>
    <row r="374" spans="1:8" ht="40.5" customHeight="1">
      <c r="A374" s="101"/>
      <c r="B374" s="100"/>
      <c r="C374" s="122" t="s">
        <v>1323</v>
      </c>
      <c r="D374" s="112"/>
      <c r="E374" s="123">
        <f>ROUND(63312000/1000,1)</f>
        <v>63312</v>
      </c>
      <c r="F374" s="123">
        <f>ROUND(63312000/1000,1)</f>
        <v>63312</v>
      </c>
      <c r="G374" s="123">
        <f>ROUND(63312000/1000,1)</f>
        <v>63312</v>
      </c>
      <c r="H374" s="110">
        <f t="shared" si="0"/>
        <v>189936</v>
      </c>
    </row>
    <row r="375" spans="1:8" ht="40.5" customHeight="1">
      <c r="A375" s="101"/>
      <c r="B375" s="100"/>
      <c r="C375" s="122" t="s">
        <v>1324</v>
      </c>
      <c r="D375" s="118"/>
      <c r="E375" s="118">
        <v>0</v>
      </c>
      <c r="F375" s="118">
        <v>0</v>
      </c>
      <c r="G375" s="118">
        <v>0</v>
      </c>
      <c r="H375" s="110">
        <f t="shared" si="0"/>
        <v>0</v>
      </c>
    </row>
    <row r="376" spans="1:8" ht="40.5" customHeight="1">
      <c r="A376" s="101"/>
      <c r="B376" s="100"/>
      <c r="C376" s="122" t="s">
        <v>1325</v>
      </c>
      <c r="D376" s="112"/>
      <c r="E376" s="123">
        <v>0</v>
      </c>
      <c r="F376" s="123">
        <v>0</v>
      </c>
      <c r="G376" s="123">
        <v>0</v>
      </c>
      <c r="H376" s="110">
        <f t="shared" si="0"/>
        <v>0</v>
      </c>
    </row>
    <row r="377" spans="1:8" ht="40.5" customHeight="1">
      <c r="A377" s="101"/>
      <c r="B377" s="100"/>
      <c r="C377" s="125" t="s">
        <v>1326</v>
      </c>
      <c r="D377" s="118"/>
      <c r="E377" s="123">
        <v>0</v>
      </c>
      <c r="F377" s="123">
        <v>0</v>
      </c>
      <c r="G377" s="123">
        <v>0</v>
      </c>
      <c r="H377" s="110">
        <f t="shared" si="0"/>
        <v>0</v>
      </c>
    </row>
    <row r="378" spans="1:8" ht="40.5" customHeight="1">
      <c r="A378" s="101"/>
      <c r="B378" s="100"/>
      <c r="C378" s="122" t="s">
        <v>1327</v>
      </c>
      <c r="D378" s="112"/>
      <c r="E378" s="123">
        <v>0</v>
      </c>
      <c r="F378" s="123">
        <v>0</v>
      </c>
      <c r="G378" s="123">
        <v>0</v>
      </c>
      <c r="H378" s="110">
        <f t="shared" si="0"/>
        <v>0</v>
      </c>
    </row>
    <row r="379" spans="1:8" ht="40.5" customHeight="1">
      <c r="A379" s="101"/>
      <c r="B379" s="100"/>
      <c r="C379" s="122" t="s">
        <v>1328</v>
      </c>
      <c r="D379" s="112"/>
      <c r="E379" s="123">
        <v>0</v>
      </c>
      <c r="F379" s="123">
        <v>0</v>
      </c>
      <c r="G379" s="123">
        <v>0</v>
      </c>
      <c r="H379" s="110">
        <f t="shared" si="0"/>
        <v>0</v>
      </c>
    </row>
    <row r="380" spans="1:8" ht="40.5" customHeight="1">
      <c r="A380" s="101" t="s">
        <v>1132</v>
      </c>
      <c r="B380" s="100" t="s">
        <v>1346</v>
      </c>
      <c r="C380" s="120" t="s">
        <v>1322</v>
      </c>
      <c r="D380" s="109"/>
      <c r="E380" s="121">
        <f>SUM(E381:E386)</f>
        <v>139139.4</v>
      </c>
      <c r="F380" s="121">
        <f>SUM(F381:F386)</f>
        <v>140911.5</v>
      </c>
      <c r="G380" s="121">
        <f>SUM(G381:G386)</f>
        <v>142713.1</v>
      </c>
      <c r="H380" s="110">
        <f t="shared" si="0"/>
        <v>422764</v>
      </c>
    </row>
    <row r="381" spans="1:8" ht="40.5" customHeight="1">
      <c r="A381" s="101"/>
      <c r="B381" s="100"/>
      <c r="C381" s="122" t="s">
        <v>1323</v>
      </c>
      <c r="D381" s="112"/>
      <c r="E381" s="118">
        <f>ROUND(139139375/1000,1)</f>
        <v>139139.4</v>
      </c>
      <c r="F381" s="118">
        <f>ROUND(140911489/1000,1)</f>
        <v>140911.5</v>
      </c>
      <c r="G381" s="118">
        <f>ROUND(142713088/1000,1)</f>
        <v>142713.1</v>
      </c>
      <c r="H381" s="110">
        <f t="shared" si="0"/>
        <v>422764</v>
      </c>
    </row>
    <row r="382" spans="1:8" ht="40.5" customHeight="1">
      <c r="A382" s="101"/>
      <c r="B382" s="100"/>
      <c r="C382" s="122" t="s">
        <v>1324</v>
      </c>
      <c r="D382" s="118"/>
      <c r="E382" s="118">
        <v>0</v>
      </c>
      <c r="F382" s="118">
        <v>0</v>
      </c>
      <c r="G382" s="118">
        <v>0</v>
      </c>
      <c r="H382" s="110">
        <f t="shared" si="0"/>
        <v>0</v>
      </c>
    </row>
    <row r="383" spans="1:8" ht="40.5" customHeight="1">
      <c r="A383" s="101"/>
      <c r="B383" s="100"/>
      <c r="C383" s="122" t="s">
        <v>1325</v>
      </c>
      <c r="D383" s="112"/>
      <c r="E383" s="123">
        <v>0</v>
      </c>
      <c r="F383" s="123">
        <v>0</v>
      </c>
      <c r="G383" s="123">
        <v>0</v>
      </c>
      <c r="H383" s="110">
        <f t="shared" si="0"/>
        <v>0</v>
      </c>
    </row>
    <row r="384" spans="1:8" ht="40.5" customHeight="1">
      <c r="A384" s="101"/>
      <c r="B384" s="100"/>
      <c r="C384" s="125" t="s">
        <v>1326</v>
      </c>
      <c r="D384" s="118"/>
      <c r="E384" s="123">
        <v>0</v>
      </c>
      <c r="F384" s="123">
        <v>0</v>
      </c>
      <c r="G384" s="123">
        <v>0</v>
      </c>
      <c r="H384" s="110">
        <f t="shared" si="0"/>
        <v>0</v>
      </c>
    </row>
    <row r="385" spans="1:8" ht="40.5" customHeight="1">
      <c r="A385" s="101"/>
      <c r="B385" s="100"/>
      <c r="C385" s="122" t="s">
        <v>1327</v>
      </c>
      <c r="D385" s="112"/>
      <c r="E385" s="123">
        <v>0</v>
      </c>
      <c r="F385" s="123">
        <v>0</v>
      </c>
      <c r="G385" s="123">
        <v>0</v>
      </c>
      <c r="H385" s="110">
        <f t="shared" si="0"/>
        <v>0</v>
      </c>
    </row>
    <row r="386" spans="1:8" ht="40.5" customHeight="1">
      <c r="A386" s="101"/>
      <c r="B386" s="100"/>
      <c r="C386" s="122" t="s">
        <v>1328</v>
      </c>
      <c r="D386" s="112"/>
      <c r="E386" s="123">
        <v>0</v>
      </c>
      <c r="F386" s="123">
        <v>0</v>
      </c>
      <c r="G386" s="123">
        <v>0</v>
      </c>
      <c r="H386" s="110">
        <f t="shared" si="0"/>
        <v>0</v>
      </c>
    </row>
    <row r="387" spans="1:8" ht="29.25" customHeight="1">
      <c r="A387" s="101" t="s">
        <v>1135</v>
      </c>
      <c r="B387" s="100" t="s">
        <v>1347</v>
      </c>
      <c r="C387" s="120" t="s">
        <v>1322</v>
      </c>
      <c r="D387" s="109"/>
      <c r="E387" s="121">
        <f>SUM(E388:E393)</f>
        <v>4988</v>
      </c>
      <c r="F387" s="121">
        <f>SUM(F388:F393)</f>
        <v>4988</v>
      </c>
      <c r="G387" s="121">
        <f>SUM(G388:G393)</f>
        <v>4988</v>
      </c>
      <c r="H387" s="110">
        <f t="shared" si="0"/>
        <v>14964</v>
      </c>
    </row>
    <row r="388" spans="1:8" ht="40.5" customHeight="1">
      <c r="A388" s="101"/>
      <c r="B388" s="100"/>
      <c r="C388" s="122" t="s">
        <v>1323</v>
      </c>
      <c r="D388" s="112"/>
      <c r="E388" s="118">
        <f>ROUND(4988000/1000,1)</f>
        <v>4988</v>
      </c>
      <c r="F388" s="118">
        <f>ROUND(4988000/1000,1)</f>
        <v>4988</v>
      </c>
      <c r="G388" s="118">
        <f>ROUND(4988000/1000,1)</f>
        <v>4988</v>
      </c>
      <c r="H388" s="110">
        <f t="shared" si="0"/>
        <v>14964</v>
      </c>
    </row>
    <row r="389" spans="1:8" ht="40.5" customHeight="1">
      <c r="A389" s="101"/>
      <c r="B389" s="100"/>
      <c r="C389" s="122" t="s">
        <v>1324</v>
      </c>
      <c r="D389" s="118"/>
      <c r="E389" s="118">
        <v>0</v>
      </c>
      <c r="F389" s="118">
        <v>0</v>
      </c>
      <c r="G389" s="118">
        <v>0</v>
      </c>
      <c r="H389" s="110">
        <f t="shared" si="0"/>
        <v>0</v>
      </c>
    </row>
    <row r="390" spans="1:8" ht="30.75" customHeight="1">
      <c r="A390" s="101"/>
      <c r="B390" s="100"/>
      <c r="C390" s="122" t="s">
        <v>1325</v>
      </c>
      <c r="D390" s="112"/>
      <c r="E390" s="123">
        <v>0</v>
      </c>
      <c r="F390" s="123">
        <v>0</v>
      </c>
      <c r="G390" s="123">
        <v>0</v>
      </c>
      <c r="H390" s="110">
        <f t="shared" si="0"/>
        <v>0</v>
      </c>
    </row>
    <row r="391" spans="1:8" ht="30.75" customHeight="1">
      <c r="A391" s="101"/>
      <c r="B391" s="100"/>
      <c r="C391" s="125" t="s">
        <v>1326</v>
      </c>
      <c r="D391" s="118"/>
      <c r="E391" s="123">
        <v>0</v>
      </c>
      <c r="F391" s="123">
        <v>0</v>
      </c>
      <c r="G391" s="123">
        <v>0</v>
      </c>
      <c r="H391" s="110">
        <f t="shared" si="0"/>
        <v>0</v>
      </c>
    </row>
    <row r="392" spans="1:8" ht="30.75" customHeight="1">
      <c r="A392" s="101"/>
      <c r="B392" s="100"/>
      <c r="C392" s="122" t="s">
        <v>1327</v>
      </c>
      <c r="D392" s="112"/>
      <c r="E392" s="123">
        <v>0</v>
      </c>
      <c r="F392" s="123">
        <v>0</v>
      </c>
      <c r="G392" s="123">
        <v>0</v>
      </c>
      <c r="H392" s="110">
        <f t="shared" si="0"/>
        <v>0</v>
      </c>
    </row>
    <row r="393" spans="1:8" ht="40.5" customHeight="1">
      <c r="A393" s="101"/>
      <c r="B393" s="100"/>
      <c r="C393" s="122" t="s">
        <v>1328</v>
      </c>
      <c r="D393" s="112"/>
      <c r="E393" s="123">
        <v>0</v>
      </c>
      <c r="F393" s="123">
        <v>0</v>
      </c>
      <c r="G393" s="123">
        <v>0</v>
      </c>
      <c r="H393" s="110">
        <f t="shared" si="0"/>
        <v>0</v>
      </c>
    </row>
    <row r="394" spans="1:8" s="127" customFormat="1" ht="27" customHeight="1">
      <c r="A394" s="106" t="s">
        <v>1146</v>
      </c>
      <c r="B394" s="131" t="s">
        <v>1147</v>
      </c>
      <c r="C394" s="115" t="s">
        <v>1322</v>
      </c>
      <c r="D394" s="109"/>
      <c r="E394" s="109">
        <f>SUM(E395:E400)</f>
        <v>26942.4</v>
      </c>
      <c r="F394" s="109">
        <f>SUM(F395:F400)</f>
        <v>26942.4</v>
      </c>
      <c r="G394" s="109">
        <f>SUM(G395:G400)</f>
        <v>26942.4</v>
      </c>
      <c r="H394" s="110">
        <f t="shared" si="0"/>
        <v>80827.20000000001</v>
      </c>
    </row>
    <row r="395" spans="1:10" s="127" customFormat="1" ht="33.75" customHeight="1">
      <c r="A395" s="106"/>
      <c r="B395" s="131"/>
      <c r="C395" s="108" t="s">
        <v>1323</v>
      </c>
      <c r="D395" s="112"/>
      <c r="E395" s="112">
        <f>'ТАБЛИЦА 6'!I169</f>
        <v>26942.4</v>
      </c>
      <c r="F395" s="112">
        <f>'ТАБЛИЦА 6'!J169</f>
        <v>26942.4</v>
      </c>
      <c r="G395" s="112">
        <f>'ТАБЛИЦА 6'!K169</f>
        <v>26942.4</v>
      </c>
      <c r="H395" s="110">
        <f t="shared" si="0"/>
        <v>80827.20000000001</v>
      </c>
      <c r="J395" s="129"/>
    </row>
    <row r="396" spans="1:8" s="127" customFormat="1" ht="40.5" customHeight="1">
      <c r="A396" s="106"/>
      <c r="B396" s="131"/>
      <c r="C396" s="108" t="s">
        <v>1324</v>
      </c>
      <c r="D396" s="118"/>
      <c r="E396" s="118">
        <v>0</v>
      </c>
      <c r="F396" s="118">
        <v>0</v>
      </c>
      <c r="G396" s="118">
        <v>0</v>
      </c>
      <c r="H396" s="110">
        <f t="shared" si="0"/>
        <v>0</v>
      </c>
    </row>
    <row r="397" spans="1:8" s="127" customFormat="1" ht="25.5" customHeight="1">
      <c r="A397" s="106"/>
      <c r="B397" s="131"/>
      <c r="C397" s="108" t="s">
        <v>1325</v>
      </c>
      <c r="D397" s="112"/>
      <c r="E397" s="112">
        <v>0</v>
      </c>
      <c r="F397" s="112">
        <v>0</v>
      </c>
      <c r="G397" s="112">
        <v>0</v>
      </c>
      <c r="H397" s="110">
        <f t="shared" si="0"/>
        <v>0</v>
      </c>
    </row>
    <row r="398" spans="1:8" s="127" customFormat="1" ht="32.25" customHeight="1">
      <c r="A398" s="106"/>
      <c r="B398" s="131"/>
      <c r="C398" s="113" t="s">
        <v>1326</v>
      </c>
      <c r="D398" s="118"/>
      <c r="E398" s="118">
        <v>0</v>
      </c>
      <c r="F398" s="118">
        <v>0</v>
      </c>
      <c r="G398" s="118">
        <v>0</v>
      </c>
      <c r="H398" s="110">
        <f t="shared" si="0"/>
        <v>0</v>
      </c>
    </row>
    <row r="399" spans="1:8" s="127" customFormat="1" ht="29.25" customHeight="1">
      <c r="A399" s="106"/>
      <c r="B399" s="131"/>
      <c r="C399" s="108" t="s">
        <v>1327</v>
      </c>
      <c r="D399" s="112"/>
      <c r="E399" s="112">
        <v>0</v>
      </c>
      <c r="F399" s="112">
        <v>0</v>
      </c>
      <c r="G399" s="112">
        <v>0</v>
      </c>
      <c r="H399" s="110">
        <f t="shared" si="0"/>
        <v>0</v>
      </c>
    </row>
    <row r="400" spans="1:8" s="127" customFormat="1" ht="40.5" customHeight="1">
      <c r="A400" s="106"/>
      <c r="B400" s="131"/>
      <c r="C400" s="108" t="s">
        <v>1328</v>
      </c>
      <c r="D400" s="112"/>
      <c r="E400" s="112">
        <v>0</v>
      </c>
      <c r="F400" s="112">
        <v>0</v>
      </c>
      <c r="G400" s="112">
        <v>0</v>
      </c>
      <c r="H400" s="110">
        <f t="shared" si="0"/>
        <v>0</v>
      </c>
    </row>
    <row r="401" spans="1:8" ht="22.5" customHeight="1">
      <c r="A401" s="101" t="s">
        <v>1154</v>
      </c>
      <c r="B401" s="132" t="s">
        <v>1348</v>
      </c>
      <c r="C401" s="120" t="s">
        <v>1322</v>
      </c>
      <c r="D401" s="109"/>
      <c r="E401" s="121">
        <f>SUM(E402:E407)</f>
        <v>19046.4</v>
      </c>
      <c r="F401" s="121">
        <f>SUM(F402:F407)</f>
        <v>19046.4</v>
      </c>
      <c r="G401" s="121">
        <f>SUM(G402:G407)</f>
        <v>19046.4</v>
      </c>
      <c r="H401" s="110">
        <f t="shared" si="0"/>
        <v>57139.200000000004</v>
      </c>
    </row>
    <row r="402" spans="1:8" ht="40.5" customHeight="1">
      <c r="A402" s="101"/>
      <c r="B402" s="132"/>
      <c r="C402" s="122" t="s">
        <v>1323</v>
      </c>
      <c r="D402" s="112"/>
      <c r="E402" s="118">
        <f>ROUND(19046400/1000,1)</f>
        <v>19046.4</v>
      </c>
      <c r="F402" s="118">
        <f>ROUND(19046400/1000,1)</f>
        <v>19046.4</v>
      </c>
      <c r="G402" s="118">
        <f>ROUND(19046400/1000,1)</f>
        <v>19046.4</v>
      </c>
      <c r="H402" s="110">
        <f t="shared" si="0"/>
        <v>57139.200000000004</v>
      </c>
    </row>
    <row r="403" spans="1:8" ht="39.75" customHeight="1">
      <c r="A403" s="101"/>
      <c r="B403" s="132"/>
      <c r="C403" s="122" t="s">
        <v>1324</v>
      </c>
      <c r="D403" s="118"/>
      <c r="E403" s="118">
        <v>0</v>
      </c>
      <c r="F403" s="118">
        <v>0</v>
      </c>
      <c r="G403" s="118">
        <v>0</v>
      </c>
      <c r="H403" s="110">
        <f t="shared" si="0"/>
        <v>0</v>
      </c>
    </row>
    <row r="404" spans="1:8" ht="40.5" customHeight="1">
      <c r="A404" s="101"/>
      <c r="B404" s="132"/>
      <c r="C404" s="122" t="s">
        <v>1325</v>
      </c>
      <c r="D404" s="112"/>
      <c r="E404" s="123">
        <v>0</v>
      </c>
      <c r="F404" s="123">
        <v>0</v>
      </c>
      <c r="G404" s="123">
        <v>0</v>
      </c>
      <c r="H404" s="110">
        <f t="shared" si="0"/>
        <v>0</v>
      </c>
    </row>
    <row r="405" spans="1:8" ht="30.75" customHeight="1">
      <c r="A405" s="101"/>
      <c r="B405" s="132"/>
      <c r="C405" s="125" t="s">
        <v>1326</v>
      </c>
      <c r="D405" s="118"/>
      <c r="E405" s="123">
        <v>0</v>
      </c>
      <c r="F405" s="123">
        <v>0</v>
      </c>
      <c r="G405" s="123">
        <v>0</v>
      </c>
      <c r="H405" s="110">
        <f t="shared" si="0"/>
        <v>0</v>
      </c>
    </row>
    <row r="406" spans="1:8" ht="47.25" customHeight="1">
      <c r="A406" s="101"/>
      <c r="B406" s="132"/>
      <c r="C406" s="122" t="s">
        <v>1327</v>
      </c>
      <c r="D406" s="112"/>
      <c r="E406" s="123">
        <v>0</v>
      </c>
      <c r="F406" s="123">
        <v>0</v>
      </c>
      <c r="G406" s="123">
        <v>0</v>
      </c>
      <c r="H406" s="110">
        <f t="shared" si="0"/>
        <v>0</v>
      </c>
    </row>
    <row r="407" spans="1:8" ht="46.5" customHeight="1">
      <c r="A407" s="101"/>
      <c r="B407" s="132"/>
      <c r="C407" s="122" t="s">
        <v>1328</v>
      </c>
      <c r="D407" s="112"/>
      <c r="E407" s="123">
        <v>0</v>
      </c>
      <c r="F407" s="123">
        <v>0</v>
      </c>
      <c r="G407" s="123">
        <v>0</v>
      </c>
      <c r="H407" s="110">
        <f t="shared" si="0"/>
        <v>0</v>
      </c>
    </row>
    <row r="408" spans="1:8" ht="40.5" customHeight="1">
      <c r="A408" s="101" t="s">
        <v>1171</v>
      </c>
      <c r="B408" s="126" t="s">
        <v>1349</v>
      </c>
      <c r="C408" s="120" t="s">
        <v>1322</v>
      </c>
      <c r="D408" s="109"/>
      <c r="E408" s="121">
        <f>SUM(E409:E414)</f>
        <v>7400</v>
      </c>
      <c r="F408" s="121">
        <f>SUM(F409:F414)</f>
        <v>7400</v>
      </c>
      <c r="G408" s="121">
        <f>SUM(G409:G414)</f>
        <v>7400</v>
      </c>
      <c r="H408" s="110">
        <f t="shared" si="0"/>
        <v>22200</v>
      </c>
    </row>
    <row r="409" spans="1:8" ht="40.5" customHeight="1">
      <c r="A409" s="101"/>
      <c r="B409" s="126"/>
      <c r="C409" s="122" t="s">
        <v>1323</v>
      </c>
      <c r="D409" s="112"/>
      <c r="E409" s="123">
        <f>ROUND(7400000/1000,1)</f>
        <v>7400</v>
      </c>
      <c r="F409" s="123">
        <f>ROUND(7400000/1000,1)</f>
        <v>7400</v>
      </c>
      <c r="G409" s="123">
        <f>ROUND(7400000/1000,1)</f>
        <v>7400</v>
      </c>
      <c r="H409" s="110">
        <f t="shared" si="0"/>
        <v>22200</v>
      </c>
    </row>
    <row r="410" spans="1:8" ht="40.5" customHeight="1">
      <c r="A410" s="101"/>
      <c r="B410" s="126"/>
      <c r="C410" s="122" t="s">
        <v>1324</v>
      </c>
      <c r="D410" s="118"/>
      <c r="E410" s="118">
        <v>0</v>
      </c>
      <c r="F410" s="118">
        <v>0</v>
      </c>
      <c r="G410" s="118">
        <v>0</v>
      </c>
      <c r="H410" s="110">
        <f t="shared" si="0"/>
        <v>0</v>
      </c>
    </row>
    <row r="411" spans="1:8" ht="40.5" customHeight="1">
      <c r="A411" s="101"/>
      <c r="B411" s="126"/>
      <c r="C411" s="122" t="s">
        <v>1325</v>
      </c>
      <c r="D411" s="112"/>
      <c r="E411" s="123">
        <v>0</v>
      </c>
      <c r="F411" s="123">
        <v>0</v>
      </c>
      <c r="G411" s="123">
        <v>0</v>
      </c>
      <c r="H411" s="110">
        <f t="shared" si="0"/>
        <v>0</v>
      </c>
    </row>
    <row r="412" spans="1:8" ht="40.5" customHeight="1">
      <c r="A412" s="101"/>
      <c r="B412" s="126"/>
      <c r="C412" s="125" t="s">
        <v>1326</v>
      </c>
      <c r="D412" s="118"/>
      <c r="E412" s="123">
        <v>0</v>
      </c>
      <c r="F412" s="123">
        <v>0</v>
      </c>
      <c r="G412" s="123">
        <v>0</v>
      </c>
      <c r="H412" s="110">
        <f t="shared" si="0"/>
        <v>0</v>
      </c>
    </row>
    <row r="413" spans="1:8" ht="40.5" customHeight="1">
      <c r="A413" s="101"/>
      <c r="B413" s="126"/>
      <c r="C413" s="122" t="s">
        <v>1327</v>
      </c>
      <c r="D413" s="112"/>
      <c r="E413" s="123">
        <v>0</v>
      </c>
      <c r="F413" s="123">
        <v>0</v>
      </c>
      <c r="G413" s="123">
        <v>0</v>
      </c>
      <c r="H413" s="110">
        <f t="shared" si="0"/>
        <v>0</v>
      </c>
    </row>
    <row r="414" spans="1:8" ht="40.5" customHeight="1">
      <c r="A414" s="101"/>
      <c r="B414" s="126"/>
      <c r="C414" s="122" t="s">
        <v>1328</v>
      </c>
      <c r="D414" s="112"/>
      <c r="E414" s="123">
        <v>0</v>
      </c>
      <c r="F414" s="123">
        <v>0</v>
      </c>
      <c r="G414" s="123">
        <v>0</v>
      </c>
      <c r="H414" s="110">
        <f t="shared" si="0"/>
        <v>0</v>
      </c>
    </row>
    <row r="415" spans="1:8" ht="40.5" customHeight="1">
      <c r="A415" s="101" t="s">
        <v>1180</v>
      </c>
      <c r="B415" s="128" t="s">
        <v>1181</v>
      </c>
      <c r="C415" s="120" t="s">
        <v>1322</v>
      </c>
      <c r="D415" s="109"/>
      <c r="E415" s="121">
        <f>SUM(E416:E421)</f>
        <v>396</v>
      </c>
      <c r="F415" s="121">
        <f>SUM(F416:F421)</f>
        <v>396</v>
      </c>
      <c r="G415" s="121">
        <f>SUM(G416:G421)</f>
        <v>396</v>
      </c>
      <c r="H415" s="110">
        <f t="shared" si="0"/>
        <v>1188</v>
      </c>
    </row>
    <row r="416" spans="1:8" ht="40.5" customHeight="1">
      <c r="A416" s="101"/>
      <c r="B416" s="128"/>
      <c r="C416" s="122" t="s">
        <v>1323</v>
      </c>
      <c r="D416" s="112"/>
      <c r="E416" s="118">
        <f>ROUND(396000/1000,1)</f>
        <v>396</v>
      </c>
      <c r="F416" s="118">
        <f>ROUND(396000/1000,1)</f>
        <v>396</v>
      </c>
      <c r="G416" s="118">
        <f>ROUND(396000/1000,1)</f>
        <v>396</v>
      </c>
      <c r="H416" s="110">
        <f t="shared" si="0"/>
        <v>1188</v>
      </c>
    </row>
    <row r="417" spans="1:8" ht="40.5" customHeight="1">
      <c r="A417" s="101"/>
      <c r="B417" s="128"/>
      <c r="C417" s="122" t="s">
        <v>1324</v>
      </c>
      <c r="D417" s="118"/>
      <c r="E417" s="118">
        <v>0</v>
      </c>
      <c r="F417" s="118">
        <v>0</v>
      </c>
      <c r="G417" s="118">
        <v>0</v>
      </c>
      <c r="H417" s="110">
        <f t="shared" si="0"/>
        <v>0</v>
      </c>
    </row>
    <row r="418" spans="1:8" ht="40.5" customHeight="1">
      <c r="A418" s="101"/>
      <c r="B418" s="128"/>
      <c r="C418" s="122" t="s">
        <v>1325</v>
      </c>
      <c r="D418" s="112"/>
      <c r="E418" s="123">
        <v>0</v>
      </c>
      <c r="F418" s="123">
        <v>0</v>
      </c>
      <c r="G418" s="123">
        <v>0</v>
      </c>
      <c r="H418" s="110">
        <f t="shared" si="0"/>
        <v>0</v>
      </c>
    </row>
    <row r="419" spans="1:8" ht="40.5" customHeight="1">
      <c r="A419" s="101"/>
      <c r="B419" s="128"/>
      <c r="C419" s="125" t="s">
        <v>1326</v>
      </c>
      <c r="D419" s="118"/>
      <c r="E419" s="123">
        <v>0</v>
      </c>
      <c r="F419" s="123">
        <v>0</v>
      </c>
      <c r="G419" s="123">
        <v>0</v>
      </c>
      <c r="H419" s="110">
        <f t="shared" si="0"/>
        <v>0</v>
      </c>
    </row>
    <row r="420" spans="1:8" ht="40.5" customHeight="1">
      <c r="A420" s="101"/>
      <c r="B420" s="128"/>
      <c r="C420" s="122" t="s">
        <v>1327</v>
      </c>
      <c r="D420" s="112"/>
      <c r="E420" s="123">
        <v>0</v>
      </c>
      <c r="F420" s="123">
        <v>0</v>
      </c>
      <c r="G420" s="123">
        <v>0</v>
      </c>
      <c r="H420" s="110">
        <f t="shared" si="0"/>
        <v>0</v>
      </c>
    </row>
    <row r="421" spans="1:8" ht="40.5" customHeight="1">
      <c r="A421" s="101"/>
      <c r="B421" s="128"/>
      <c r="C421" s="122" t="s">
        <v>1328</v>
      </c>
      <c r="D421" s="112"/>
      <c r="E421" s="123">
        <v>0</v>
      </c>
      <c r="F421" s="123">
        <v>0</v>
      </c>
      <c r="G421" s="123">
        <v>0</v>
      </c>
      <c r="H421" s="110">
        <f t="shared" si="0"/>
        <v>0</v>
      </c>
    </row>
    <row r="422" spans="1:8" ht="36.75" customHeight="1">
      <c r="A422" s="101" t="s">
        <v>1183</v>
      </c>
      <c r="B422" s="126" t="s">
        <v>1184</v>
      </c>
      <c r="C422" s="120" t="s">
        <v>1322</v>
      </c>
      <c r="D422" s="109"/>
      <c r="E422" s="121">
        <f>SUM(E423:E428)</f>
        <v>100</v>
      </c>
      <c r="F422" s="121">
        <f>SUM(F423:F428)</f>
        <v>100</v>
      </c>
      <c r="G422" s="121">
        <f>SUM(G423:G428)</f>
        <v>100</v>
      </c>
      <c r="H422" s="110">
        <f t="shared" si="0"/>
        <v>300</v>
      </c>
    </row>
    <row r="423" spans="1:8" ht="37.5" customHeight="1">
      <c r="A423" s="101"/>
      <c r="B423" s="126"/>
      <c r="C423" s="122" t="s">
        <v>1323</v>
      </c>
      <c r="D423" s="112"/>
      <c r="E423" s="118">
        <f>ROUND(100000/1000,1)</f>
        <v>100</v>
      </c>
      <c r="F423" s="118">
        <f>ROUND(100000/1000,1)</f>
        <v>100</v>
      </c>
      <c r="G423" s="118">
        <f>ROUND(100000/1000,1)</f>
        <v>100</v>
      </c>
      <c r="H423" s="110">
        <f t="shared" si="0"/>
        <v>300</v>
      </c>
    </row>
    <row r="424" spans="1:8" ht="37.5" customHeight="1">
      <c r="A424" s="101"/>
      <c r="B424" s="126"/>
      <c r="C424" s="122" t="s">
        <v>1324</v>
      </c>
      <c r="D424" s="118"/>
      <c r="E424" s="118">
        <v>0</v>
      </c>
      <c r="F424" s="118">
        <v>0</v>
      </c>
      <c r="G424" s="118">
        <v>0</v>
      </c>
      <c r="H424" s="110">
        <f t="shared" si="0"/>
        <v>0</v>
      </c>
    </row>
    <row r="425" spans="1:8" ht="40.5" customHeight="1">
      <c r="A425" s="101"/>
      <c r="B425" s="126"/>
      <c r="C425" s="122" t="s">
        <v>1325</v>
      </c>
      <c r="D425" s="112"/>
      <c r="E425" s="123">
        <v>0</v>
      </c>
      <c r="F425" s="123">
        <v>0</v>
      </c>
      <c r="G425" s="123">
        <v>0</v>
      </c>
      <c r="H425" s="110">
        <f t="shared" si="0"/>
        <v>0</v>
      </c>
    </row>
    <row r="426" spans="1:8" ht="40.5" customHeight="1">
      <c r="A426" s="101"/>
      <c r="B426" s="126"/>
      <c r="C426" s="125" t="s">
        <v>1326</v>
      </c>
      <c r="D426" s="118"/>
      <c r="E426" s="123">
        <v>0</v>
      </c>
      <c r="F426" s="123">
        <v>0</v>
      </c>
      <c r="G426" s="123">
        <v>0</v>
      </c>
      <c r="H426" s="110">
        <f t="shared" si="0"/>
        <v>0</v>
      </c>
    </row>
    <row r="427" spans="1:8" ht="40.5" customHeight="1">
      <c r="A427" s="101"/>
      <c r="B427" s="126"/>
      <c r="C427" s="122" t="s">
        <v>1327</v>
      </c>
      <c r="D427" s="112"/>
      <c r="E427" s="123">
        <v>0</v>
      </c>
      <c r="F427" s="123">
        <v>0</v>
      </c>
      <c r="G427" s="123">
        <v>0</v>
      </c>
      <c r="H427" s="110">
        <f t="shared" si="0"/>
        <v>0</v>
      </c>
    </row>
    <row r="428" spans="1:8" ht="40.5" customHeight="1">
      <c r="A428" s="101"/>
      <c r="B428" s="126"/>
      <c r="C428" s="122" t="s">
        <v>1328</v>
      </c>
      <c r="D428" s="112"/>
      <c r="E428" s="123">
        <v>0</v>
      </c>
      <c r="F428" s="123">
        <v>0</v>
      </c>
      <c r="G428" s="123">
        <v>0</v>
      </c>
      <c r="H428" s="110">
        <f t="shared" si="0"/>
        <v>0</v>
      </c>
    </row>
    <row r="429" spans="1:256" s="133" customFormat="1" ht="40.5" customHeight="1">
      <c r="A429" s="106" t="s">
        <v>1200</v>
      </c>
      <c r="B429" s="114" t="s">
        <v>1350</v>
      </c>
      <c r="C429" s="115" t="s">
        <v>1322</v>
      </c>
      <c r="D429" s="109"/>
      <c r="E429" s="109">
        <f>E430</f>
        <v>873900.7</v>
      </c>
      <c r="F429" s="109">
        <f>F430</f>
        <v>629328.9</v>
      </c>
      <c r="G429" s="109">
        <f>G430</f>
        <v>629328.9</v>
      </c>
      <c r="H429" s="110">
        <f t="shared" si="0"/>
        <v>2132558.5</v>
      </c>
      <c r="IH429" s="127"/>
      <c r="II429" s="127"/>
      <c r="IJ429" s="127"/>
      <c r="IK429" s="127"/>
      <c r="IL429" s="127"/>
      <c r="IM429" s="127"/>
      <c r="IN429" s="127"/>
      <c r="IO429" s="127"/>
      <c r="IP429" s="127"/>
      <c r="IQ429" s="127"/>
      <c r="IR429" s="127"/>
      <c r="IS429" s="127"/>
      <c r="IT429" s="127"/>
      <c r="IU429" s="127"/>
      <c r="IV429" s="127"/>
    </row>
    <row r="430" spans="1:10" s="127" customFormat="1" ht="40.5" customHeight="1">
      <c r="A430" s="106"/>
      <c r="B430" s="114"/>
      <c r="C430" s="108" t="s">
        <v>1323</v>
      </c>
      <c r="D430" s="112"/>
      <c r="E430" s="112">
        <f>'ТАБЛИЦА 6'!I192</f>
        <v>873900.7</v>
      </c>
      <c r="F430" s="112">
        <f>'ТАБЛИЦА 6'!J192</f>
        <v>629328.9</v>
      </c>
      <c r="G430" s="112">
        <f>'ТАБЛИЦА 6'!K192</f>
        <v>629328.9</v>
      </c>
      <c r="H430" s="110">
        <f t="shared" si="0"/>
        <v>2132558.5</v>
      </c>
      <c r="J430" s="129"/>
    </row>
    <row r="431" spans="1:10" s="127" customFormat="1" ht="40.5" customHeight="1">
      <c r="A431" s="106"/>
      <c r="B431" s="114"/>
      <c r="C431" s="108" t="s">
        <v>1324</v>
      </c>
      <c r="D431" s="118"/>
      <c r="E431" s="118">
        <f>E445+E452+E459+E473+E466</f>
        <v>421526.89999999997</v>
      </c>
      <c r="F431" s="118">
        <f>F445+F452+F459+F473+F466</f>
        <v>176955.1</v>
      </c>
      <c r="G431" s="118">
        <f>G445+G452+G459+G473+G466</f>
        <v>176955.1</v>
      </c>
      <c r="H431" s="110">
        <f t="shared" si="0"/>
        <v>775437.1</v>
      </c>
      <c r="J431" s="129"/>
    </row>
    <row r="432" spans="1:8" s="127" customFormat="1" ht="40.5" customHeight="1">
      <c r="A432" s="106"/>
      <c r="B432" s="114"/>
      <c r="C432" s="108" t="s">
        <v>1325</v>
      </c>
      <c r="D432" s="112"/>
      <c r="E432" s="112">
        <v>0</v>
      </c>
      <c r="F432" s="112">
        <v>0</v>
      </c>
      <c r="G432" s="112">
        <v>0</v>
      </c>
      <c r="H432" s="110">
        <f t="shared" si="0"/>
        <v>0</v>
      </c>
    </row>
    <row r="433" spans="1:8" s="127" customFormat="1" ht="40.5" customHeight="1">
      <c r="A433" s="106"/>
      <c r="B433" s="114"/>
      <c r="C433" s="113" t="s">
        <v>1326</v>
      </c>
      <c r="D433" s="118"/>
      <c r="E433" s="118">
        <v>0</v>
      </c>
      <c r="F433" s="118">
        <v>0</v>
      </c>
      <c r="G433" s="118">
        <v>0</v>
      </c>
      <c r="H433" s="110">
        <f t="shared" si="0"/>
        <v>0</v>
      </c>
    </row>
    <row r="434" spans="1:8" s="127" customFormat="1" ht="40.5" customHeight="1">
      <c r="A434" s="106"/>
      <c r="B434" s="114"/>
      <c r="C434" s="108" t="s">
        <v>1327</v>
      </c>
      <c r="D434" s="112"/>
      <c r="E434" s="112">
        <v>0</v>
      </c>
      <c r="F434" s="112">
        <v>0</v>
      </c>
      <c r="G434" s="112">
        <v>0</v>
      </c>
      <c r="H434" s="110">
        <f t="shared" si="0"/>
        <v>0</v>
      </c>
    </row>
    <row r="435" spans="1:8" s="127" customFormat="1" ht="40.5" customHeight="1">
      <c r="A435" s="106"/>
      <c r="B435" s="114"/>
      <c r="C435" s="108" t="s">
        <v>1328</v>
      </c>
      <c r="D435" s="112"/>
      <c r="E435" s="112">
        <v>0</v>
      </c>
      <c r="F435" s="112">
        <v>0</v>
      </c>
      <c r="G435" s="112">
        <v>0</v>
      </c>
      <c r="H435" s="110">
        <f t="shared" si="0"/>
        <v>0</v>
      </c>
    </row>
    <row r="436" spans="1:8" ht="40.5" customHeight="1">
      <c r="A436" s="101" t="s">
        <v>1206</v>
      </c>
      <c r="B436" s="134" t="s">
        <v>1351</v>
      </c>
      <c r="C436" s="120" t="s">
        <v>1322</v>
      </c>
      <c r="D436" s="109"/>
      <c r="E436" s="121">
        <f>SUM(E437:E442)</f>
        <v>409564</v>
      </c>
      <c r="F436" s="121">
        <f>SUM(F437:F442)</f>
        <v>409564</v>
      </c>
      <c r="G436" s="121">
        <f>SUM(G437:G442)</f>
        <v>409564</v>
      </c>
      <c r="H436" s="110">
        <f t="shared" si="0"/>
        <v>1228692</v>
      </c>
    </row>
    <row r="437" spans="1:8" ht="40.5" customHeight="1">
      <c r="A437" s="101"/>
      <c r="B437" s="134"/>
      <c r="C437" s="122" t="s">
        <v>1323</v>
      </c>
      <c r="D437" s="112"/>
      <c r="E437" s="123">
        <f>ROUND(409564000/1000,1)</f>
        <v>409564</v>
      </c>
      <c r="F437" s="123">
        <f>ROUND(409564000/1000,1)</f>
        <v>409564</v>
      </c>
      <c r="G437" s="123">
        <f>ROUND(409564000/1000,1)</f>
        <v>409564</v>
      </c>
      <c r="H437" s="110">
        <f t="shared" si="0"/>
        <v>1228692</v>
      </c>
    </row>
    <row r="438" spans="1:8" ht="40.5" customHeight="1">
      <c r="A438" s="101"/>
      <c r="B438" s="134"/>
      <c r="C438" s="122" t="s">
        <v>1324</v>
      </c>
      <c r="D438" s="118"/>
      <c r="E438" s="118">
        <v>0</v>
      </c>
      <c r="F438" s="118">
        <v>0</v>
      </c>
      <c r="G438" s="118">
        <v>0</v>
      </c>
      <c r="H438" s="110">
        <f t="shared" si="0"/>
        <v>0</v>
      </c>
    </row>
    <row r="439" spans="1:8" ht="40.5" customHeight="1">
      <c r="A439" s="101"/>
      <c r="B439" s="134"/>
      <c r="C439" s="122" t="s">
        <v>1325</v>
      </c>
      <c r="D439" s="112"/>
      <c r="E439" s="123">
        <v>0</v>
      </c>
      <c r="F439" s="123">
        <v>0</v>
      </c>
      <c r="G439" s="123">
        <v>0</v>
      </c>
      <c r="H439" s="110">
        <f t="shared" si="0"/>
        <v>0</v>
      </c>
    </row>
    <row r="440" spans="1:8" ht="40.5" customHeight="1">
      <c r="A440" s="101"/>
      <c r="B440" s="134"/>
      <c r="C440" s="125" t="s">
        <v>1326</v>
      </c>
      <c r="D440" s="118"/>
      <c r="E440" s="123">
        <v>0</v>
      </c>
      <c r="F440" s="123">
        <v>0</v>
      </c>
      <c r="G440" s="123">
        <v>0</v>
      </c>
      <c r="H440" s="110">
        <f t="shared" si="0"/>
        <v>0</v>
      </c>
    </row>
    <row r="441" spans="1:8" ht="40.5" customHeight="1">
      <c r="A441" s="101"/>
      <c r="B441" s="134"/>
      <c r="C441" s="122" t="s">
        <v>1327</v>
      </c>
      <c r="D441" s="112"/>
      <c r="E441" s="123">
        <v>0</v>
      </c>
      <c r="F441" s="123">
        <v>0</v>
      </c>
      <c r="G441" s="123">
        <v>0</v>
      </c>
      <c r="H441" s="110">
        <f t="shared" si="0"/>
        <v>0</v>
      </c>
    </row>
    <row r="442" spans="1:8" ht="40.5" customHeight="1">
      <c r="A442" s="101"/>
      <c r="B442" s="134"/>
      <c r="C442" s="122" t="s">
        <v>1328</v>
      </c>
      <c r="D442" s="112"/>
      <c r="E442" s="123">
        <v>0</v>
      </c>
      <c r="F442" s="123">
        <v>0</v>
      </c>
      <c r="G442" s="123">
        <v>0</v>
      </c>
      <c r="H442" s="110">
        <f t="shared" si="0"/>
        <v>0</v>
      </c>
    </row>
    <row r="443" spans="1:8" ht="40.5" customHeight="1">
      <c r="A443" s="101" t="s">
        <v>1209</v>
      </c>
      <c r="B443" s="126" t="s">
        <v>1352</v>
      </c>
      <c r="C443" s="120" t="s">
        <v>1322</v>
      </c>
      <c r="D443" s="109"/>
      <c r="E443" s="121">
        <f>E444</f>
        <v>117670.4</v>
      </c>
      <c r="F443" s="121">
        <f>F444</f>
        <v>117670.4</v>
      </c>
      <c r="G443" s="121">
        <f>G444</f>
        <v>117670.4</v>
      </c>
      <c r="H443" s="110">
        <f t="shared" si="0"/>
        <v>353011.19999999995</v>
      </c>
    </row>
    <row r="444" spans="1:8" ht="40.5" customHeight="1">
      <c r="A444" s="101"/>
      <c r="B444" s="126"/>
      <c r="C444" s="122" t="s">
        <v>1323</v>
      </c>
      <c r="D444" s="112"/>
      <c r="E444" s="118">
        <v>117670.4</v>
      </c>
      <c r="F444" s="118">
        <v>117670.4</v>
      </c>
      <c r="G444" s="118">
        <v>117670.4</v>
      </c>
      <c r="H444" s="110">
        <f t="shared" si="0"/>
        <v>353011.19999999995</v>
      </c>
    </row>
    <row r="445" spans="1:8" ht="40.5" customHeight="1">
      <c r="A445" s="101"/>
      <c r="B445" s="126"/>
      <c r="C445" s="122" t="s">
        <v>1324</v>
      </c>
      <c r="D445" s="118"/>
      <c r="E445" s="118">
        <v>117670.4</v>
      </c>
      <c r="F445" s="118">
        <v>117670.4</v>
      </c>
      <c r="G445" s="118">
        <v>117670.4</v>
      </c>
      <c r="H445" s="110">
        <f t="shared" si="0"/>
        <v>353011.19999999995</v>
      </c>
    </row>
    <row r="446" spans="1:8" ht="40.5" customHeight="1">
      <c r="A446" s="101"/>
      <c r="B446" s="126"/>
      <c r="C446" s="122" t="s">
        <v>1325</v>
      </c>
      <c r="D446" s="112"/>
      <c r="E446" s="123">
        <v>0</v>
      </c>
      <c r="F446" s="123">
        <v>0</v>
      </c>
      <c r="G446" s="123">
        <v>0</v>
      </c>
      <c r="H446" s="110">
        <f t="shared" si="0"/>
        <v>0</v>
      </c>
    </row>
    <row r="447" spans="1:8" ht="40.5" customHeight="1">
      <c r="A447" s="101"/>
      <c r="B447" s="126"/>
      <c r="C447" s="125" t="s">
        <v>1326</v>
      </c>
      <c r="D447" s="118"/>
      <c r="E447" s="123">
        <v>0</v>
      </c>
      <c r="F447" s="123">
        <v>0</v>
      </c>
      <c r="G447" s="123">
        <v>0</v>
      </c>
      <c r="H447" s="110">
        <f t="shared" si="0"/>
        <v>0</v>
      </c>
    </row>
    <row r="448" spans="1:8" ht="40.5" customHeight="1">
      <c r="A448" s="101"/>
      <c r="B448" s="126"/>
      <c r="C448" s="122" t="s">
        <v>1327</v>
      </c>
      <c r="D448" s="112"/>
      <c r="E448" s="123">
        <v>0</v>
      </c>
      <c r="F448" s="123">
        <v>0</v>
      </c>
      <c r="G448" s="123">
        <v>0</v>
      </c>
      <c r="H448" s="110">
        <f t="shared" si="0"/>
        <v>0</v>
      </c>
    </row>
    <row r="449" spans="1:8" ht="40.5" customHeight="1">
      <c r="A449" s="101"/>
      <c r="B449" s="126"/>
      <c r="C449" s="122" t="s">
        <v>1328</v>
      </c>
      <c r="D449" s="112"/>
      <c r="E449" s="123">
        <v>0</v>
      </c>
      <c r="F449" s="123">
        <v>0</v>
      </c>
      <c r="G449" s="123">
        <v>0</v>
      </c>
      <c r="H449" s="110">
        <f t="shared" si="0"/>
        <v>0</v>
      </c>
    </row>
    <row r="450" spans="1:8" ht="40.5" customHeight="1">
      <c r="A450" s="101" t="s">
        <v>1212</v>
      </c>
      <c r="B450" s="119" t="s">
        <v>1213</v>
      </c>
      <c r="C450" s="120" t="s">
        <v>1322</v>
      </c>
      <c r="D450" s="109"/>
      <c r="E450" s="121">
        <f>E451</f>
        <v>244571.8</v>
      </c>
      <c r="F450" s="121">
        <f>F451</f>
        <v>0</v>
      </c>
      <c r="G450" s="121">
        <f>G451</f>
        <v>0</v>
      </c>
      <c r="H450" s="110">
        <f t="shared" si="0"/>
        <v>244571.8</v>
      </c>
    </row>
    <row r="451" spans="1:8" ht="40.5" customHeight="1">
      <c r="A451" s="101"/>
      <c r="B451" s="119"/>
      <c r="C451" s="122" t="s">
        <v>1323</v>
      </c>
      <c r="D451" s="112"/>
      <c r="E451" s="118">
        <v>244571.8</v>
      </c>
      <c r="F451" s="118">
        <v>0</v>
      </c>
      <c r="G451" s="118">
        <v>0</v>
      </c>
      <c r="H451" s="110">
        <f t="shared" si="0"/>
        <v>244571.8</v>
      </c>
    </row>
    <row r="452" spans="1:8" ht="40.5" customHeight="1">
      <c r="A452" s="101"/>
      <c r="B452" s="119"/>
      <c r="C452" s="122" t="s">
        <v>1324</v>
      </c>
      <c r="D452" s="118"/>
      <c r="E452" s="118">
        <v>244571.8</v>
      </c>
      <c r="F452" s="118">
        <v>0</v>
      </c>
      <c r="G452" s="118">
        <v>0</v>
      </c>
      <c r="H452" s="110">
        <f t="shared" si="0"/>
        <v>244571.8</v>
      </c>
    </row>
    <row r="453" spans="1:8" ht="40.5" customHeight="1">
      <c r="A453" s="101"/>
      <c r="B453" s="119"/>
      <c r="C453" s="122" t="s">
        <v>1325</v>
      </c>
      <c r="D453" s="112"/>
      <c r="E453" s="123">
        <v>0</v>
      </c>
      <c r="F453" s="123">
        <v>0</v>
      </c>
      <c r="G453" s="123">
        <v>0</v>
      </c>
      <c r="H453" s="110">
        <f t="shared" si="0"/>
        <v>0</v>
      </c>
    </row>
    <row r="454" spans="1:8" ht="40.5" customHeight="1">
      <c r="A454" s="101"/>
      <c r="B454" s="119"/>
      <c r="C454" s="125" t="s">
        <v>1326</v>
      </c>
      <c r="D454" s="118"/>
      <c r="E454" s="123">
        <v>0</v>
      </c>
      <c r="F454" s="123">
        <v>0</v>
      </c>
      <c r="G454" s="123">
        <v>0</v>
      </c>
      <c r="H454" s="110">
        <f t="shared" si="0"/>
        <v>0</v>
      </c>
    </row>
    <row r="455" spans="1:8" ht="40.5" customHeight="1">
      <c r="A455" s="101"/>
      <c r="B455" s="119"/>
      <c r="C455" s="122" t="s">
        <v>1327</v>
      </c>
      <c r="D455" s="112"/>
      <c r="E455" s="123">
        <v>0</v>
      </c>
      <c r="F455" s="123">
        <v>0</v>
      </c>
      <c r="G455" s="123">
        <v>0</v>
      </c>
      <c r="H455" s="110">
        <f t="shared" si="0"/>
        <v>0</v>
      </c>
    </row>
    <row r="456" spans="1:8" ht="40.5" customHeight="1">
      <c r="A456" s="101"/>
      <c r="B456" s="119"/>
      <c r="C456" s="122" t="s">
        <v>1328</v>
      </c>
      <c r="D456" s="112"/>
      <c r="E456" s="123">
        <v>0</v>
      </c>
      <c r="F456" s="123">
        <v>0</v>
      </c>
      <c r="G456" s="123">
        <v>0</v>
      </c>
      <c r="H456" s="110">
        <f t="shared" si="0"/>
        <v>0</v>
      </c>
    </row>
    <row r="457" spans="1:8" ht="40.5" customHeight="1">
      <c r="A457" s="101" t="s">
        <v>1215</v>
      </c>
      <c r="B457" s="130" t="s">
        <v>1353</v>
      </c>
      <c r="C457" s="120" t="s">
        <v>1322</v>
      </c>
      <c r="D457" s="109"/>
      <c r="E457" s="121">
        <f>E458</f>
        <v>29956.1</v>
      </c>
      <c r="F457" s="121">
        <f>F458</f>
        <v>29956.1</v>
      </c>
      <c r="G457" s="121">
        <f>G458</f>
        <v>29956.1</v>
      </c>
      <c r="H457" s="110">
        <f t="shared" si="0"/>
        <v>89868.29999999999</v>
      </c>
    </row>
    <row r="458" spans="1:8" ht="40.5" customHeight="1">
      <c r="A458" s="101"/>
      <c r="B458" s="101"/>
      <c r="C458" s="122" t="s">
        <v>1323</v>
      </c>
      <c r="D458" s="112"/>
      <c r="E458" s="118">
        <v>29956.1</v>
      </c>
      <c r="F458" s="118">
        <v>29956.1</v>
      </c>
      <c r="G458" s="118">
        <v>29956.1</v>
      </c>
      <c r="H458" s="110">
        <f t="shared" si="0"/>
        <v>89868.29999999999</v>
      </c>
    </row>
    <row r="459" spans="1:8" ht="40.5" customHeight="1">
      <c r="A459" s="101"/>
      <c r="B459" s="101"/>
      <c r="C459" s="122" t="s">
        <v>1324</v>
      </c>
      <c r="D459" s="118"/>
      <c r="E459" s="118">
        <v>29956.1</v>
      </c>
      <c r="F459" s="118">
        <v>29956.1</v>
      </c>
      <c r="G459" s="118">
        <v>29956.1</v>
      </c>
      <c r="H459" s="110">
        <f t="shared" si="0"/>
        <v>89868.29999999999</v>
      </c>
    </row>
    <row r="460" spans="1:8" ht="40.5" customHeight="1">
      <c r="A460" s="101"/>
      <c r="B460" s="101"/>
      <c r="C460" s="122" t="s">
        <v>1325</v>
      </c>
      <c r="D460" s="112"/>
      <c r="E460" s="123">
        <v>0</v>
      </c>
      <c r="F460" s="123">
        <v>0</v>
      </c>
      <c r="G460" s="123">
        <v>0</v>
      </c>
      <c r="H460" s="110">
        <f t="shared" si="0"/>
        <v>0</v>
      </c>
    </row>
    <row r="461" spans="1:8" ht="40.5" customHeight="1">
      <c r="A461" s="101"/>
      <c r="B461" s="101"/>
      <c r="C461" s="125" t="s">
        <v>1326</v>
      </c>
      <c r="D461" s="118"/>
      <c r="E461" s="123">
        <v>0</v>
      </c>
      <c r="F461" s="123">
        <v>0</v>
      </c>
      <c r="G461" s="123">
        <v>0</v>
      </c>
      <c r="H461" s="110">
        <f t="shared" si="0"/>
        <v>0</v>
      </c>
    </row>
    <row r="462" spans="1:8" ht="40.5" customHeight="1">
      <c r="A462" s="101"/>
      <c r="B462" s="101"/>
      <c r="C462" s="122" t="s">
        <v>1327</v>
      </c>
      <c r="D462" s="112"/>
      <c r="E462" s="123">
        <v>0</v>
      </c>
      <c r="F462" s="123">
        <v>0</v>
      </c>
      <c r="G462" s="123">
        <v>0</v>
      </c>
      <c r="H462" s="110">
        <f t="shared" si="0"/>
        <v>0</v>
      </c>
    </row>
    <row r="463" spans="1:8" ht="40.5" customHeight="1">
      <c r="A463" s="101"/>
      <c r="B463" s="101"/>
      <c r="C463" s="122" t="s">
        <v>1328</v>
      </c>
      <c r="D463" s="112"/>
      <c r="E463" s="123">
        <v>0</v>
      </c>
      <c r="F463" s="123">
        <v>0</v>
      </c>
      <c r="G463" s="123">
        <v>0</v>
      </c>
      <c r="H463" s="110">
        <f t="shared" si="0"/>
        <v>0</v>
      </c>
    </row>
    <row r="464" spans="1:8" ht="40.5" customHeight="1">
      <c r="A464" s="101" t="s">
        <v>1218</v>
      </c>
      <c r="B464" s="126" t="s">
        <v>1219</v>
      </c>
      <c r="C464" s="120" t="s">
        <v>1322</v>
      </c>
      <c r="D464" s="109"/>
      <c r="E464" s="121">
        <f>E465</f>
        <v>52320</v>
      </c>
      <c r="F464" s="121">
        <f>F465</f>
        <v>52320</v>
      </c>
      <c r="G464" s="121">
        <f>G465</f>
        <v>52320</v>
      </c>
      <c r="H464" s="110">
        <f t="shared" si="0"/>
        <v>156960</v>
      </c>
    </row>
    <row r="465" spans="1:8" ht="40.5" customHeight="1">
      <c r="A465" s="101"/>
      <c r="B465" s="126"/>
      <c r="C465" s="122" t="s">
        <v>1323</v>
      </c>
      <c r="D465" s="112"/>
      <c r="E465" s="123">
        <f>ROUND(42809763/1000,1)+9510.2</f>
        <v>52320</v>
      </c>
      <c r="F465" s="123">
        <f>ROUND(42809763/1000,1)+9510.2</f>
        <v>52320</v>
      </c>
      <c r="G465" s="123">
        <f>ROUND(42809763/1000,1)+9510.2</f>
        <v>52320</v>
      </c>
      <c r="H465" s="110">
        <f t="shared" si="0"/>
        <v>156960</v>
      </c>
    </row>
    <row r="466" spans="1:8" ht="40.5" customHeight="1">
      <c r="A466" s="101"/>
      <c r="B466" s="126"/>
      <c r="C466" s="122" t="s">
        <v>1324</v>
      </c>
      <c r="D466" s="118"/>
      <c r="E466" s="118">
        <v>9510.2</v>
      </c>
      <c r="F466" s="118">
        <v>9510.2</v>
      </c>
      <c r="G466" s="118">
        <v>9510.2</v>
      </c>
      <c r="H466" s="110">
        <f t="shared" si="0"/>
        <v>28530.600000000002</v>
      </c>
    </row>
    <row r="467" spans="1:8" ht="40.5" customHeight="1">
      <c r="A467" s="101"/>
      <c r="B467" s="126"/>
      <c r="C467" s="122" t="s">
        <v>1325</v>
      </c>
      <c r="D467" s="112"/>
      <c r="E467" s="123">
        <v>0</v>
      </c>
      <c r="F467" s="123">
        <v>0</v>
      </c>
      <c r="G467" s="123">
        <v>0</v>
      </c>
      <c r="H467" s="110">
        <f t="shared" si="0"/>
        <v>0</v>
      </c>
    </row>
    <row r="468" spans="1:8" ht="40.5" customHeight="1">
      <c r="A468" s="101"/>
      <c r="B468" s="126"/>
      <c r="C468" s="125" t="s">
        <v>1326</v>
      </c>
      <c r="D468" s="118"/>
      <c r="E468" s="123">
        <v>0</v>
      </c>
      <c r="F468" s="123">
        <v>0</v>
      </c>
      <c r="G468" s="123">
        <v>0</v>
      </c>
      <c r="H468" s="110">
        <f t="shared" si="0"/>
        <v>0</v>
      </c>
    </row>
    <row r="469" spans="1:8" ht="40.5" customHeight="1">
      <c r="A469" s="101"/>
      <c r="B469" s="126"/>
      <c r="C469" s="122" t="s">
        <v>1327</v>
      </c>
      <c r="D469" s="112"/>
      <c r="E469" s="123">
        <v>0</v>
      </c>
      <c r="F469" s="123">
        <v>0</v>
      </c>
      <c r="G469" s="123">
        <v>0</v>
      </c>
      <c r="H469" s="110">
        <f t="shared" si="0"/>
        <v>0</v>
      </c>
    </row>
    <row r="470" spans="1:8" ht="40.5" customHeight="1">
      <c r="A470" s="101"/>
      <c r="B470" s="126"/>
      <c r="C470" s="122" t="s">
        <v>1328</v>
      </c>
      <c r="D470" s="112"/>
      <c r="E470" s="123">
        <v>0</v>
      </c>
      <c r="F470" s="123">
        <v>0</v>
      </c>
      <c r="G470" s="123">
        <v>0</v>
      </c>
      <c r="H470" s="110">
        <f t="shared" si="0"/>
        <v>0</v>
      </c>
    </row>
    <row r="471" spans="1:8" ht="33" customHeight="1">
      <c r="A471" s="101" t="s">
        <v>1229</v>
      </c>
      <c r="B471" s="126" t="s">
        <v>1354</v>
      </c>
      <c r="C471" s="120" t="s">
        <v>1322</v>
      </c>
      <c r="D471" s="109"/>
      <c r="E471" s="121">
        <f>E472</f>
        <v>19818.4</v>
      </c>
      <c r="F471" s="121">
        <f>F472</f>
        <v>19818.4</v>
      </c>
      <c r="G471" s="121">
        <f>G472</f>
        <v>19818.4</v>
      </c>
      <c r="H471" s="110">
        <f t="shared" si="0"/>
        <v>59455.200000000004</v>
      </c>
    </row>
    <row r="472" spans="1:8" ht="40.5" customHeight="1">
      <c r="A472" s="101"/>
      <c r="B472" s="126"/>
      <c r="C472" s="122" t="s">
        <v>1323</v>
      </c>
      <c r="D472" s="112"/>
      <c r="E472" s="123">
        <v>19818.4</v>
      </c>
      <c r="F472" s="123">
        <v>19818.4</v>
      </c>
      <c r="G472" s="123">
        <v>19818.4</v>
      </c>
      <c r="H472" s="110">
        <f t="shared" si="0"/>
        <v>59455.200000000004</v>
      </c>
    </row>
    <row r="473" spans="1:8" ht="62.25" customHeight="1">
      <c r="A473" s="101"/>
      <c r="B473" s="126"/>
      <c r="C473" s="122" t="s">
        <v>1324</v>
      </c>
      <c r="D473" s="118"/>
      <c r="E473" s="123">
        <v>19818.4</v>
      </c>
      <c r="F473" s="123">
        <v>19818.4</v>
      </c>
      <c r="G473" s="123">
        <v>19818.4</v>
      </c>
      <c r="H473" s="110">
        <f t="shared" si="0"/>
        <v>59455.200000000004</v>
      </c>
    </row>
    <row r="474" spans="1:8" ht="40.5" customHeight="1">
      <c r="A474" s="101"/>
      <c r="B474" s="126"/>
      <c r="C474" s="122" t="s">
        <v>1325</v>
      </c>
      <c r="D474" s="112"/>
      <c r="E474" s="123">
        <v>0</v>
      </c>
      <c r="F474" s="123">
        <v>0</v>
      </c>
      <c r="G474" s="123">
        <v>0</v>
      </c>
      <c r="H474" s="110">
        <f t="shared" si="0"/>
        <v>0</v>
      </c>
    </row>
    <row r="475" spans="1:8" ht="40.5" customHeight="1">
      <c r="A475" s="101"/>
      <c r="B475" s="126"/>
      <c r="C475" s="125" t="s">
        <v>1326</v>
      </c>
      <c r="D475" s="118"/>
      <c r="E475" s="123">
        <v>0</v>
      </c>
      <c r="F475" s="123">
        <v>0</v>
      </c>
      <c r="G475" s="123">
        <v>0</v>
      </c>
      <c r="H475" s="110">
        <f t="shared" si="0"/>
        <v>0</v>
      </c>
    </row>
    <row r="476" spans="1:8" ht="40.5" customHeight="1">
      <c r="A476" s="101"/>
      <c r="B476" s="126"/>
      <c r="C476" s="122" t="s">
        <v>1327</v>
      </c>
      <c r="D476" s="112"/>
      <c r="E476" s="123">
        <v>0</v>
      </c>
      <c r="F476" s="123">
        <v>0</v>
      </c>
      <c r="G476" s="123">
        <v>0</v>
      </c>
      <c r="H476" s="110">
        <f t="shared" si="0"/>
        <v>0</v>
      </c>
    </row>
    <row r="477" spans="1:8" ht="40.5" customHeight="1">
      <c r="A477" s="101"/>
      <c r="B477" s="126"/>
      <c r="C477" s="122" t="s">
        <v>1328</v>
      </c>
      <c r="D477" s="112"/>
      <c r="E477" s="123">
        <v>0</v>
      </c>
      <c r="F477" s="123">
        <v>0</v>
      </c>
      <c r="G477" s="123">
        <v>0</v>
      </c>
      <c r="H477" s="110">
        <f t="shared" si="0"/>
        <v>0</v>
      </c>
    </row>
    <row r="478" spans="1:8" s="127" customFormat="1" ht="40.5" customHeight="1">
      <c r="A478" s="106" t="s">
        <v>1236</v>
      </c>
      <c r="B478" s="114" t="s">
        <v>1237</v>
      </c>
      <c r="C478" s="115" t="s">
        <v>1322</v>
      </c>
      <c r="D478" s="109"/>
      <c r="E478" s="109">
        <f>E479+E482</f>
        <v>1177000.2000000004</v>
      </c>
      <c r="F478" s="109">
        <f>F479+F482</f>
        <v>1200882.2</v>
      </c>
      <c r="G478" s="109">
        <f>G479+G482</f>
        <v>1222539.5000000002</v>
      </c>
      <c r="H478" s="110">
        <f t="shared" si="0"/>
        <v>3600421.9000000004</v>
      </c>
    </row>
    <row r="479" spans="1:10" s="127" customFormat="1" ht="40.5" customHeight="1">
      <c r="A479" s="106"/>
      <c r="B479" s="114"/>
      <c r="C479" s="108" t="s">
        <v>1323</v>
      </c>
      <c r="D479" s="112"/>
      <c r="E479" s="112">
        <f>'ТАБЛИЦА 6'!I207-'ТАБЛИЦА 6'!I215-'ТАБЛИЦА 6'!I216</f>
        <v>970293.0000000003</v>
      </c>
      <c r="F479" s="112">
        <f>'ТАБЛИЦА 6'!J207-'ТАБЛИЦА 6'!J215-'ТАБЛИЦА 6'!J216</f>
        <v>975794</v>
      </c>
      <c r="G479" s="112">
        <f>'ТАБЛИЦА 6'!K207-'ТАБЛИЦА 6'!K215-'ТАБЛИЦА 6'!K216</f>
        <v>988519.2000000002</v>
      </c>
      <c r="H479" s="110">
        <f t="shared" si="0"/>
        <v>2934606.2000000007</v>
      </c>
      <c r="J479" s="129"/>
    </row>
    <row r="480" spans="1:10" s="127" customFormat="1" ht="40.5" customHeight="1">
      <c r="A480" s="106"/>
      <c r="B480" s="114"/>
      <c r="C480" s="108" t="s">
        <v>1324</v>
      </c>
      <c r="D480" s="118"/>
      <c r="E480" s="112">
        <f>E501+E522</f>
        <v>7605.1</v>
      </c>
      <c r="F480" s="112">
        <f>F501+F522</f>
        <v>3095.1</v>
      </c>
      <c r="G480" s="112">
        <f>G501+G522</f>
        <v>3095.1</v>
      </c>
      <c r="H480" s="110">
        <f t="shared" si="0"/>
        <v>13795.300000000001</v>
      </c>
      <c r="J480" s="129"/>
    </row>
    <row r="481" spans="1:8" s="127" customFormat="1" ht="40.5" customHeight="1">
      <c r="A481" s="106"/>
      <c r="B481" s="114"/>
      <c r="C481" s="108" t="s">
        <v>1325</v>
      </c>
      <c r="D481" s="112"/>
      <c r="E481" s="112">
        <v>0</v>
      </c>
      <c r="F481" s="112">
        <v>0</v>
      </c>
      <c r="G481" s="112">
        <v>0</v>
      </c>
      <c r="H481" s="110">
        <f t="shared" si="0"/>
        <v>0</v>
      </c>
    </row>
    <row r="482" spans="1:8" s="127" customFormat="1" ht="40.5" customHeight="1">
      <c r="A482" s="106"/>
      <c r="B482" s="114"/>
      <c r="C482" s="113" t="s">
        <v>1326</v>
      </c>
      <c r="D482" s="118"/>
      <c r="E482" s="112">
        <v>206707.2</v>
      </c>
      <c r="F482" s="112">
        <v>225088.2</v>
      </c>
      <c r="G482" s="112">
        <v>234020.3</v>
      </c>
      <c r="H482" s="110">
        <f t="shared" si="0"/>
        <v>665815.7</v>
      </c>
    </row>
    <row r="483" spans="1:8" s="127" customFormat="1" ht="40.5" customHeight="1">
      <c r="A483" s="106"/>
      <c r="B483" s="114"/>
      <c r="C483" s="108" t="s">
        <v>1327</v>
      </c>
      <c r="D483" s="112"/>
      <c r="E483" s="112">
        <v>0</v>
      </c>
      <c r="F483" s="112">
        <v>0</v>
      </c>
      <c r="G483" s="112">
        <v>0</v>
      </c>
      <c r="H483" s="110">
        <f t="shared" si="0"/>
        <v>0</v>
      </c>
    </row>
    <row r="484" spans="1:8" s="127" customFormat="1" ht="40.5" customHeight="1">
      <c r="A484" s="106"/>
      <c r="B484" s="114"/>
      <c r="C484" s="108" t="s">
        <v>1328</v>
      </c>
      <c r="D484" s="112"/>
      <c r="E484" s="112">
        <v>0</v>
      </c>
      <c r="F484" s="112">
        <v>0</v>
      </c>
      <c r="G484" s="112">
        <v>0</v>
      </c>
      <c r="H484" s="110">
        <f t="shared" si="0"/>
        <v>0</v>
      </c>
    </row>
    <row r="485" spans="1:8" ht="40.5" customHeight="1">
      <c r="A485" s="101" t="s">
        <v>1238</v>
      </c>
      <c r="B485" s="128" t="s">
        <v>1239</v>
      </c>
      <c r="C485" s="120" t="s">
        <v>1322</v>
      </c>
      <c r="D485" s="109"/>
      <c r="E485" s="121">
        <f>SUM(E486:E491)</f>
        <v>74997.2</v>
      </c>
      <c r="F485" s="121">
        <f>SUM(F486:F491)</f>
        <v>74997.1</v>
      </c>
      <c r="G485" s="121">
        <f>SUM(G486:G491)</f>
        <v>75444.2</v>
      </c>
      <c r="H485" s="110">
        <f t="shared" si="0"/>
        <v>225438.5</v>
      </c>
    </row>
    <row r="486" spans="1:8" ht="40.5" customHeight="1">
      <c r="A486" s="101"/>
      <c r="B486" s="128"/>
      <c r="C486" s="122" t="s">
        <v>1323</v>
      </c>
      <c r="D486" s="112"/>
      <c r="E486" s="118">
        <f>ROUND(74997214.21/1000,1)</f>
        <v>74997.2</v>
      </c>
      <c r="F486" s="118">
        <f>ROUND(74997063.58/1000,1)</f>
        <v>74997.1</v>
      </c>
      <c r="G486" s="118">
        <f>ROUND(75444185.78/1000,1)</f>
        <v>75444.2</v>
      </c>
      <c r="H486" s="110">
        <f t="shared" si="0"/>
        <v>225438.5</v>
      </c>
    </row>
    <row r="487" spans="1:8" ht="40.5" customHeight="1">
      <c r="A487" s="101"/>
      <c r="B487" s="128"/>
      <c r="C487" s="122" t="s">
        <v>1324</v>
      </c>
      <c r="D487" s="118"/>
      <c r="E487" s="118">
        <v>0</v>
      </c>
      <c r="F487" s="118">
        <v>0</v>
      </c>
      <c r="G487" s="118">
        <v>0</v>
      </c>
      <c r="H487" s="110">
        <f t="shared" si="0"/>
        <v>0</v>
      </c>
    </row>
    <row r="488" spans="1:8" ht="40.5" customHeight="1">
      <c r="A488" s="101"/>
      <c r="B488" s="128"/>
      <c r="C488" s="122" t="s">
        <v>1325</v>
      </c>
      <c r="D488" s="112"/>
      <c r="E488" s="123">
        <v>0</v>
      </c>
      <c r="F488" s="123">
        <v>0</v>
      </c>
      <c r="G488" s="123">
        <v>0</v>
      </c>
      <c r="H488" s="110">
        <f t="shared" si="0"/>
        <v>0</v>
      </c>
    </row>
    <row r="489" spans="1:8" ht="40.5" customHeight="1">
      <c r="A489" s="101"/>
      <c r="B489" s="128"/>
      <c r="C489" s="125" t="s">
        <v>1326</v>
      </c>
      <c r="D489" s="118"/>
      <c r="E489" s="123">
        <v>0</v>
      </c>
      <c r="F489" s="123">
        <v>0</v>
      </c>
      <c r="G489" s="123">
        <v>0</v>
      </c>
      <c r="H489" s="110">
        <f t="shared" si="0"/>
        <v>0</v>
      </c>
    </row>
    <row r="490" spans="1:8" ht="40.5" customHeight="1">
      <c r="A490" s="101"/>
      <c r="B490" s="128"/>
      <c r="C490" s="122" t="s">
        <v>1327</v>
      </c>
      <c r="D490" s="112"/>
      <c r="E490" s="123">
        <v>0</v>
      </c>
      <c r="F490" s="123">
        <v>0</v>
      </c>
      <c r="G490" s="123">
        <v>0</v>
      </c>
      <c r="H490" s="110">
        <f t="shared" si="0"/>
        <v>0</v>
      </c>
    </row>
    <row r="491" spans="1:8" ht="40.5" customHeight="1">
      <c r="A491" s="101"/>
      <c r="B491" s="128"/>
      <c r="C491" s="122" t="s">
        <v>1328</v>
      </c>
      <c r="D491" s="112"/>
      <c r="E491" s="123">
        <v>0</v>
      </c>
      <c r="F491" s="123">
        <v>0</v>
      </c>
      <c r="G491" s="123">
        <v>0</v>
      </c>
      <c r="H491" s="110">
        <f t="shared" si="0"/>
        <v>0</v>
      </c>
    </row>
    <row r="492" spans="1:8" ht="40.5" customHeight="1">
      <c r="A492" s="101" t="s">
        <v>1242</v>
      </c>
      <c r="B492" s="100" t="s">
        <v>1355</v>
      </c>
      <c r="C492" s="120" t="s">
        <v>1322</v>
      </c>
      <c r="D492" s="109"/>
      <c r="E492" s="121">
        <f>SUM(E493:E498)</f>
        <v>235587.5</v>
      </c>
      <c r="F492" s="121">
        <f>SUM(F493:F498)</f>
        <v>242447.5</v>
      </c>
      <c r="G492" s="121">
        <f>SUM(G493:G498)</f>
        <v>249417.6</v>
      </c>
      <c r="H492" s="110">
        <f t="shared" si="0"/>
        <v>727452.6</v>
      </c>
    </row>
    <row r="493" spans="1:8" ht="40.5" customHeight="1">
      <c r="A493" s="101"/>
      <c r="B493" s="100"/>
      <c r="C493" s="122" t="s">
        <v>1323</v>
      </c>
      <c r="D493" s="112"/>
      <c r="E493" s="118">
        <f>ROUND(235587451.44/1000,1)</f>
        <v>235587.5</v>
      </c>
      <c r="F493" s="118">
        <f>ROUND(242447521.57/1000,1)</f>
        <v>242447.5</v>
      </c>
      <c r="G493" s="118">
        <f>ROUND(249417557.95/1000,1)</f>
        <v>249417.6</v>
      </c>
      <c r="H493" s="110">
        <f t="shared" si="0"/>
        <v>727452.6</v>
      </c>
    </row>
    <row r="494" spans="1:8" ht="40.5" customHeight="1">
      <c r="A494" s="101"/>
      <c r="B494" s="100"/>
      <c r="C494" s="122" t="s">
        <v>1324</v>
      </c>
      <c r="D494" s="118"/>
      <c r="E494" s="118">
        <v>0</v>
      </c>
      <c r="F494" s="118">
        <v>0</v>
      </c>
      <c r="G494" s="118">
        <v>0</v>
      </c>
      <c r="H494" s="110">
        <f t="shared" si="0"/>
        <v>0</v>
      </c>
    </row>
    <row r="495" spans="1:8" ht="40.5" customHeight="1">
      <c r="A495" s="101"/>
      <c r="B495" s="100"/>
      <c r="C495" s="122" t="s">
        <v>1325</v>
      </c>
      <c r="D495" s="112"/>
      <c r="E495" s="123">
        <v>0</v>
      </c>
      <c r="F495" s="123">
        <v>0</v>
      </c>
      <c r="G495" s="123">
        <v>0</v>
      </c>
      <c r="H495" s="110">
        <f t="shared" si="0"/>
        <v>0</v>
      </c>
    </row>
    <row r="496" spans="1:8" ht="40.5" customHeight="1">
      <c r="A496" s="101"/>
      <c r="B496" s="100"/>
      <c r="C496" s="125" t="s">
        <v>1326</v>
      </c>
      <c r="D496" s="118"/>
      <c r="E496" s="123">
        <v>0</v>
      </c>
      <c r="F496" s="123">
        <v>0</v>
      </c>
      <c r="G496" s="123">
        <v>0</v>
      </c>
      <c r="H496" s="110">
        <f t="shared" si="0"/>
        <v>0</v>
      </c>
    </row>
    <row r="497" spans="1:8" ht="40.5" customHeight="1">
      <c r="A497" s="101"/>
      <c r="B497" s="100"/>
      <c r="C497" s="122" t="s">
        <v>1327</v>
      </c>
      <c r="D497" s="112"/>
      <c r="E497" s="123">
        <v>0</v>
      </c>
      <c r="F497" s="123">
        <v>0</v>
      </c>
      <c r="G497" s="123">
        <v>0</v>
      </c>
      <c r="H497" s="110">
        <f t="shared" si="0"/>
        <v>0</v>
      </c>
    </row>
    <row r="498" spans="1:8" ht="40.5" customHeight="1">
      <c r="A498" s="101"/>
      <c r="B498" s="100"/>
      <c r="C498" s="122" t="s">
        <v>1328</v>
      </c>
      <c r="D498" s="112"/>
      <c r="E498" s="123">
        <v>0</v>
      </c>
      <c r="F498" s="123">
        <v>0</v>
      </c>
      <c r="G498" s="123">
        <v>0</v>
      </c>
      <c r="H498" s="110">
        <f t="shared" si="0"/>
        <v>0</v>
      </c>
    </row>
    <row r="499" spans="1:8" ht="40.5" customHeight="1">
      <c r="A499" s="101" t="s">
        <v>1245</v>
      </c>
      <c r="B499" s="135" t="s">
        <v>1356</v>
      </c>
      <c r="C499" s="120" t="s">
        <v>1322</v>
      </c>
      <c r="D499" s="109"/>
      <c r="E499" s="121">
        <f>E500</f>
        <v>3069.4</v>
      </c>
      <c r="F499" s="121">
        <f>F500</f>
        <v>3095.1</v>
      </c>
      <c r="G499" s="121">
        <f>G500</f>
        <v>3095.1</v>
      </c>
      <c r="H499" s="110">
        <f t="shared" si="0"/>
        <v>9259.6</v>
      </c>
    </row>
    <row r="500" spans="1:8" ht="40.5" customHeight="1">
      <c r="A500" s="101"/>
      <c r="B500" s="135"/>
      <c r="C500" s="122" t="s">
        <v>1323</v>
      </c>
      <c r="D500" s="112"/>
      <c r="E500" s="118">
        <f aca="true" t="shared" si="4" ref="E500:E501">ROUND(3069400/1000,1)</f>
        <v>3069.4</v>
      </c>
      <c r="F500" s="118">
        <f aca="true" t="shared" si="5" ref="F500:F501">ROUND(3095100/1000,1)</f>
        <v>3095.1</v>
      </c>
      <c r="G500" s="118">
        <f aca="true" t="shared" si="6" ref="G500:G501">ROUND(3095100/1000,1)</f>
        <v>3095.1</v>
      </c>
      <c r="H500" s="110">
        <f t="shared" si="0"/>
        <v>9259.6</v>
      </c>
    </row>
    <row r="501" spans="1:8" ht="40.5" customHeight="1">
      <c r="A501" s="101"/>
      <c r="B501" s="135"/>
      <c r="C501" s="122" t="s">
        <v>1324</v>
      </c>
      <c r="D501" s="118"/>
      <c r="E501" s="118">
        <f t="shared" si="4"/>
        <v>3069.4</v>
      </c>
      <c r="F501" s="118">
        <f t="shared" si="5"/>
        <v>3095.1</v>
      </c>
      <c r="G501" s="118">
        <f t="shared" si="6"/>
        <v>3095.1</v>
      </c>
      <c r="H501" s="110">
        <f t="shared" si="0"/>
        <v>9259.6</v>
      </c>
    </row>
    <row r="502" spans="1:8" ht="56.25" customHeight="1">
      <c r="A502" s="101"/>
      <c r="B502" s="135"/>
      <c r="C502" s="122" t="s">
        <v>1325</v>
      </c>
      <c r="D502" s="112"/>
      <c r="E502" s="123">
        <v>0</v>
      </c>
      <c r="F502" s="123">
        <v>0</v>
      </c>
      <c r="G502" s="123">
        <v>0</v>
      </c>
      <c r="H502" s="110">
        <f t="shared" si="0"/>
        <v>0</v>
      </c>
    </row>
    <row r="503" spans="1:8" ht="40.5" customHeight="1">
      <c r="A503" s="101"/>
      <c r="B503" s="135"/>
      <c r="C503" s="125" t="s">
        <v>1326</v>
      </c>
      <c r="D503" s="118"/>
      <c r="E503" s="123">
        <v>0</v>
      </c>
      <c r="F503" s="123">
        <v>0</v>
      </c>
      <c r="G503" s="123">
        <v>0</v>
      </c>
      <c r="H503" s="110">
        <f t="shared" si="0"/>
        <v>0</v>
      </c>
    </row>
    <row r="504" spans="1:8" ht="40.5" customHeight="1">
      <c r="A504" s="101"/>
      <c r="B504" s="135"/>
      <c r="C504" s="122" t="s">
        <v>1327</v>
      </c>
      <c r="D504" s="112"/>
      <c r="E504" s="123">
        <v>0</v>
      </c>
      <c r="F504" s="123">
        <v>0</v>
      </c>
      <c r="G504" s="123">
        <v>0</v>
      </c>
      <c r="H504" s="110">
        <f t="shared" si="0"/>
        <v>0</v>
      </c>
    </row>
    <row r="505" spans="1:8" ht="40.5" customHeight="1">
      <c r="A505" s="101"/>
      <c r="B505" s="135"/>
      <c r="C505" s="122" t="s">
        <v>1328</v>
      </c>
      <c r="D505" s="112"/>
      <c r="E505" s="123">
        <v>0</v>
      </c>
      <c r="F505" s="123">
        <v>0</v>
      </c>
      <c r="G505" s="123">
        <v>0</v>
      </c>
      <c r="H505" s="110">
        <f t="shared" si="0"/>
        <v>0</v>
      </c>
    </row>
    <row r="506" spans="1:8" ht="40.5" customHeight="1">
      <c r="A506" s="101" t="s">
        <v>1249</v>
      </c>
      <c r="B506" s="126" t="s">
        <v>1357</v>
      </c>
      <c r="C506" s="120" t="s">
        <v>1322</v>
      </c>
      <c r="D506" s="109"/>
      <c r="E506" s="121">
        <f>SUM(E507:E512)</f>
        <v>606429.5</v>
      </c>
      <c r="F506" s="121">
        <f>SUM(F507:F512)</f>
        <v>609464.9</v>
      </c>
      <c r="G506" s="121">
        <f>SUM(G507:G512)</f>
        <v>614655.3</v>
      </c>
      <c r="H506" s="110">
        <f t="shared" si="0"/>
        <v>1830549.7</v>
      </c>
    </row>
    <row r="507" spans="1:8" ht="40.5" customHeight="1">
      <c r="A507" s="101"/>
      <c r="B507" s="126"/>
      <c r="C507" s="122" t="s">
        <v>1323</v>
      </c>
      <c r="D507" s="112"/>
      <c r="E507" s="118">
        <f>ROUND(606429472/1000,1)</f>
        <v>606429.5</v>
      </c>
      <c r="F507" s="118">
        <f>ROUND(609464932/1000,1)</f>
        <v>609464.9</v>
      </c>
      <c r="G507" s="118">
        <f>ROUND(614655327/1000,1)</f>
        <v>614655.3</v>
      </c>
      <c r="H507" s="110">
        <f t="shared" si="0"/>
        <v>1830549.7</v>
      </c>
    </row>
    <row r="508" spans="1:8" ht="40.5" customHeight="1">
      <c r="A508" s="101"/>
      <c r="B508" s="126"/>
      <c r="C508" s="122" t="s">
        <v>1324</v>
      </c>
      <c r="D508" s="118"/>
      <c r="E508" s="118">
        <v>0</v>
      </c>
      <c r="F508" s="118">
        <v>0</v>
      </c>
      <c r="G508" s="118">
        <v>0</v>
      </c>
      <c r="H508" s="110">
        <f t="shared" si="0"/>
        <v>0</v>
      </c>
    </row>
    <row r="509" spans="1:8" ht="40.5" customHeight="1">
      <c r="A509" s="101"/>
      <c r="B509" s="126"/>
      <c r="C509" s="122" t="s">
        <v>1325</v>
      </c>
      <c r="D509" s="112"/>
      <c r="E509" s="123">
        <v>0</v>
      </c>
      <c r="F509" s="123">
        <v>0</v>
      </c>
      <c r="G509" s="123">
        <v>0</v>
      </c>
      <c r="H509" s="110">
        <f t="shared" si="0"/>
        <v>0</v>
      </c>
    </row>
    <row r="510" spans="1:8" ht="40.5" customHeight="1">
      <c r="A510" s="101"/>
      <c r="B510" s="126"/>
      <c r="C510" s="125" t="s">
        <v>1326</v>
      </c>
      <c r="D510" s="118"/>
      <c r="E510" s="123">
        <v>0</v>
      </c>
      <c r="F510" s="123">
        <v>0</v>
      </c>
      <c r="G510" s="123">
        <v>0</v>
      </c>
      <c r="H510" s="110">
        <f t="shared" si="0"/>
        <v>0</v>
      </c>
    </row>
    <row r="511" spans="1:8" ht="40.5" customHeight="1">
      <c r="A511" s="101"/>
      <c r="B511" s="126"/>
      <c r="C511" s="122" t="s">
        <v>1327</v>
      </c>
      <c r="D511" s="112"/>
      <c r="E511" s="123">
        <v>0</v>
      </c>
      <c r="F511" s="123">
        <v>0</v>
      </c>
      <c r="G511" s="123">
        <v>0</v>
      </c>
      <c r="H511" s="110">
        <f t="shared" si="0"/>
        <v>0</v>
      </c>
    </row>
    <row r="512" spans="1:8" ht="40.5" customHeight="1">
      <c r="A512" s="101"/>
      <c r="B512" s="126"/>
      <c r="C512" s="122" t="s">
        <v>1328</v>
      </c>
      <c r="D512" s="112"/>
      <c r="E512" s="123">
        <v>0</v>
      </c>
      <c r="F512" s="123">
        <v>0</v>
      </c>
      <c r="G512" s="123">
        <v>0</v>
      </c>
      <c r="H512" s="110">
        <f t="shared" si="0"/>
        <v>0</v>
      </c>
    </row>
    <row r="513" spans="1:8" ht="40.5" customHeight="1">
      <c r="A513" s="101" t="s">
        <v>1252</v>
      </c>
      <c r="B513" s="126" t="s">
        <v>1358</v>
      </c>
      <c r="C513" s="120" t="s">
        <v>1322</v>
      </c>
      <c r="D513" s="109"/>
      <c r="E513" s="121">
        <f>SUM(E514:E519)</f>
        <v>45673.7</v>
      </c>
      <c r="F513" s="121">
        <f>SUM(F514:F519)</f>
        <v>45789.4</v>
      </c>
      <c r="G513" s="121">
        <f>SUM(G514:G519)</f>
        <v>45907</v>
      </c>
      <c r="H513" s="110">
        <f t="shared" si="0"/>
        <v>137370.1</v>
      </c>
    </row>
    <row r="514" spans="1:8" ht="40.5" customHeight="1">
      <c r="A514" s="101"/>
      <c r="B514" s="126"/>
      <c r="C514" s="122" t="s">
        <v>1323</v>
      </c>
      <c r="D514" s="112"/>
      <c r="E514" s="123">
        <f>ROUND(45673713/1000,1)</f>
        <v>45673.7</v>
      </c>
      <c r="F514" s="123">
        <f>ROUND(45789419/1000,1)</f>
        <v>45789.4</v>
      </c>
      <c r="G514" s="123">
        <v>45907</v>
      </c>
      <c r="H514" s="110">
        <f t="shared" si="0"/>
        <v>137370.1</v>
      </c>
    </row>
    <row r="515" spans="1:8" ht="40.5" customHeight="1">
      <c r="A515" s="101"/>
      <c r="B515" s="126"/>
      <c r="C515" s="122" t="s">
        <v>1324</v>
      </c>
      <c r="D515" s="118"/>
      <c r="E515" s="118">
        <v>0</v>
      </c>
      <c r="F515" s="118">
        <v>0</v>
      </c>
      <c r="G515" s="118">
        <v>0</v>
      </c>
      <c r="H515" s="110">
        <f t="shared" si="0"/>
        <v>0</v>
      </c>
    </row>
    <row r="516" spans="1:8" ht="40.5" customHeight="1">
      <c r="A516" s="101"/>
      <c r="B516" s="126"/>
      <c r="C516" s="122" t="s">
        <v>1325</v>
      </c>
      <c r="D516" s="112"/>
      <c r="E516" s="123">
        <v>0</v>
      </c>
      <c r="F516" s="123">
        <v>0</v>
      </c>
      <c r="G516" s="123">
        <v>0</v>
      </c>
      <c r="H516" s="110">
        <f t="shared" si="0"/>
        <v>0</v>
      </c>
    </row>
    <row r="517" spans="1:8" ht="40.5" customHeight="1">
      <c r="A517" s="101"/>
      <c r="B517" s="126"/>
      <c r="C517" s="125" t="s">
        <v>1326</v>
      </c>
      <c r="D517" s="118"/>
      <c r="E517" s="123">
        <v>0</v>
      </c>
      <c r="F517" s="123">
        <v>0</v>
      </c>
      <c r="G517" s="123">
        <v>0</v>
      </c>
      <c r="H517" s="110">
        <f t="shared" si="0"/>
        <v>0</v>
      </c>
    </row>
    <row r="518" spans="1:8" ht="40.5" customHeight="1">
      <c r="A518" s="101"/>
      <c r="B518" s="126"/>
      <c r="C518" s="122" t="s">
        <v>1327</v>
      </c>
      <c r="D518" s="112"/>
      <c r="E518" s="123">
        <v>0</v>
      </c>
      <c r="F518" s="123">
        <v>0</v>
      </c>
      <c r="G518" s="123">
        <v>0</v>
      </c>
      <c r="H518" s="110">
        <f t="shared" si="0"/>
        <v>0</v>
      </c>
    </row>
    <row r="519" spans="1:8" ht="40.5" customHeight="1">
      <c r="A519" s="101"/>
      <c r="B519" s="126"/>
      <c r="C519" s="122" t="s">
        <v>1328</v>
      </c>
      <c r="D519" s="112"/>
      <c r="E519" s="123">
        <v>0</v>
      </c>
      <c r="F519" s="123">
        <v>0</v>
      </c>
      <c r="G519" s="123">
        <v>0</v>
      </c>
      <c r="H519" s="110">
        <f t="shared" si="0"/>
        <v>0</v>
      </c>
    </row>
    <row r="520" spans="1:8" ht="40.5" customHeight="1">
      <c r="A520" s="101" t="s">
        <v>1257</v>
      </c>
      <c r="B520" s="136" t="s">
        <v>1359</v>
      </c>
      <c r="C520" s="120" t="s">
        <v>1322</v>
      </c>
      <c r="D520" s="109"/>
      <c r="E520" s="121">
        <f>E521</f>
        <v>4535.7</v>
      </c>
      <c r="F520" s="121">
        <f>F521</f>
        <v>0</v>
      </c>
      <c r="G520" s="121">
        <f>G521</f>
        <v>0</v>
      </c>
      <c r="H520" s="110">
        <f t="shared" si="0"/>
        <v>4535.7</v>
      </c>
    </row>
    <row r="521" spans="1:8" ht="40.5" customHeight="1">
      <c r="A521" s="101"/>
      <c r="B521" s="136"/>
      <c r="C521" s="122" t="s">
        <v>1323</v>
      </c>
      <c r="D521" s="112"/>
      <c r="E521" s="118">
        <v>4535.7</v>
      </c>
      <c r="F521" s="118">
        <v>0</v>
      </c>
      <c r="G521" s="118">
        <v>0</v>
      </c>
      <c r="H521" s="110">
        <f t="shared" si="0"/>
        <v>4535.7</v>
      </c>
    </row>
    <row r="522" spans="1:8" ht="40.5" customHeight="1">
      <c r="A522" s="101"/>
      <c r="B522" s="136"/>
      <c r="C522" s="122" t="s">
        <v>1324</v>
      </c>
      <c r="D522" s="118"/>
      <c r="E522" s="118">
        <v>4535.7</v>
      </c>
      <c r="F522" s="118">
        <v>0</v>
      </c>
      <c r="G522" s="118">
        <v>0</v>
      </c>
      <c r="H522" s="110">
        <f t="shared" si="0"/>
        <v>4535.7</v>
      </c>
    </row>
    <row r="523" spans="1:8" ht="40.5" customHeight="1">
      <c r="A523" s="101"/>
      <c r="B523" s="136"/>
      <c r="C523" s="122" t="s">
        <v>1325</v>
      </c>
      <c r="D523" s="112"/>
      <c r="E523" s="123">
        <v>0</v>
      </c>
      <c r="F523" s="123">
        <v>0</v>
      </c>
      <c r="G523" s="123">
        <v>0</v>
      </c>
      <c r="H523" s="110">
        <f t="shared" si="0"/>
        <v>0</v>
      </c>
    </row>
    <row r="524" spans="1:8" ht="40.5" customHeight="1">
      <c r="A524" s="101"/>
      <c r="B524" s="136"/>
      <c r="C524" s="125" t="s">
        <v>1326</v>
      </c>
      <c r="D524" s="118"/>
      <c r="E524" s="123">
        <v>0</v>
      </c>
      <c r="F524" s="123">
        <v>0</v>
      </c>
      <c r="G524" s="123">
        <v>0</v>
      </c>
      <c r="H524" s="110">
        <f t="shared" si="0"/>
        <v>0</v>
      </c>
    </row>
    <row r="525" spans="1:8" ht="40.5" customHeight="1">
      <c r="A525" s="101"/>
      <c r="B525" s="136"/>
      <c r="C525" s="122" t="s">
        <v>1327</v>
      </c>
      <c r="D525" s="112"/>
      <c r="E525" s="123">
        <v>0</v>
      </c>
      <c r="F525" s="123">
        <v>0</v>
      </c>
      <c r="G525" s="123">
        <v>0</v>
      </c>
      <c r="H525" s="110">
        <f t="shared" si="0"/>
        <v>0</v>
      </c>
    </row>
    <row r="526" spans="1:8" ht="40.5" customHeight="1">
      <c r="A526" s="101"/>
      <c r="B526" s="136"/>
      <c r="C526" s="122" t="s">
        <v>1328</v>
      </c>
      <c r="D526" s="112"/>
      <c r="E526" s="123">
        <v>0</v>
      </c>
      <c r="F526" s="123">
        <v>0</v>
      </c>
      <c r="G526" s="123">
        <v>0</v>
      </c>
      <c r="H526" s="110">
        <f t="shared" si="0"/>
        <v>0</v>
      </c>
    </row>
    <row r="527" spans="1:8" s="127" customFormat="1" ht="40.5" customHeight="1">
      <c r="A527" s="106" t="s">
        <v>1266</v>
      </c>
      <c r="B527" s="137" t="s">
        <v>1267</v>
      </c>
      <c r="C527" s="115" t="s">
        <v>1322</v>
      </c>
      <c r="D527" s="109"/>
      <c r="E527" s="109">
        <f>SUM(E528:E533)</f>
        <v>0</v>
      </c>
      <c r="F527" s="109">
        <f>SUM(F528:F533)</f>
        <v>0</v>
      </c>
      <c r="G527" s="109">
        <f>SUM(G528:G533)</f>
        <v>0</v>
      </c>
      <c r="H527" s="110">
        <f t="shared" si="0"/>
        <v>0</v>
      </c>
    </row>
    <row r="528" spans="1:8" s="127" customFormat="1" ht="40.5" customHeight="1">
      <c r="A528" s="106"/>
      <c r="B528" s="137"/>
      <c r="C528" s="108" t="s">
        <v>1323</v>
      </c>
      <c r="D528" s="112"/>
      <c r="E528" s="112">
        <v>0</v>
      </c>
      <c r="F528" s="112">
        <v>0</v>
      </c>
      <c r="G528" s="112">
        <v>0</v>
      </c>
      <c r="H528" s="110">
        <f t="shared" si="0"/>
        <v>0</v>
      </c>
    </row>
    <row r="529" spans="1:8" s="127" customFormat="1" ht="40.5" customHeight="1">
      <c r="A529" s="106"/>
      <c r="B529" s="137"/>
      <c r="C529" s="108" t="s">
        <v>1324</v>
      </c>
      <c r="D529" s="118"/>
      <c r="E529" s="112">
        <v>0</v>
      </c>
      <c r="F529" s="112">
        <v>0</v>
      </c>
      <c r="G529" s="112">
        <v>0</v>
      </c>
      <c r="H529" s="110">
        <f t="shared" si="0"/>
        <v>0</v>
      </c>
    </row>
    <row r="530" spans="1:8" s="127" customFormat="1" ht="40.5" customHeight="1">
      <c r="A530" s="106"/>
      <c r="B530" s="137"/>
      <c r="C530" s="108" t="s">
        <v>1325</v>
      </c>
      <c r="D530" s="112"/>
      <c r="E530" s="112">
        <v>0</v>
      </c>
      <c r="F530" s="112">
        <v>0</v>
      </c>
      <c r="G530" s="112">
        <v>0</v>
      </c>
      <c r="H530" s="110">
        <f t="shared" si="0"/>
        <v>0</v>
      </c>
    </row>
    <row r="531" spans="1:8" s="127" customFormat="1" ht="40.5" customHeight="1">
      <c r="A531" s="106"/>
      <c r="B531" s="137"/>
      <c r="C531" s="113" t="s">
        <v>1326</v>
      </c>
      <c r="D531" s="112"/>
      <c r="E531" s="112">
        <v>0</v>
      </c>
      <c r="F531" s="112">
        <v>0</v>
      </c>
      <c r="G531" s="112">
        <v>0</v>
      </c>
      <c r="H531" s="110">
        <f t="shared" si="0"/>
        <v>0</v>
      </c>
    </row>
    <row r="532" spans="1:8" s="127" customFormat="1" ht="40.5" customHeight="1">
      <c r="A532" s="106"/>
      <c r="B532" s="137"/>
      <c r="C532" s="108" t="s">
        <v>1327</v>
      </c>
      <c r="D532" s="112"/>
      <c r="E532" s="112">
        <v>0</v>
      </c>
      <c r="F532" s="112">
        <v>0</v>
      </c>
      <c r="G532" s="112">
        <v>0</v>
      </c>
      <c r="H532" s="110">
        <f t="shared" si="0"/>
        <v>0</v>
      </c>
    </row>
    <row r="533" spans="1:8" s="127" customFormat="1" ht="40.5" customHeight="1">
      <c r="A533" s="106"/>
      <c r="B533" s="137"/>
      <c r="C533" s="108" t="s">
        <v>1328</v>
      </c>
      <c r="D533" s="112"/>
      <c r="E533" s="112">
        <v>0</v>
      </c>
      <c r="F533" s="112">
        <v>0</v>
      </c>
      <c r="G533" s="112">
        <v>0</v>
      </c>
      <c r="H533" s="110">
        <f t="shared" si="0"/>
        <v>0</v>
      </c>
    </row>
    <row r="534" spans="1:8" s="127" customFormat="1" ht="40.5" customHeight="1">
      <c r="A534" s="106" t="s">
        <v>1278</v>
      </c>
      <c r="B534" s="114" t="s">
        <v>1279</v>
      </c>
      <c r="C534" s="115" t="s">
        <v>1322</v>
      </c>
      <c r="D534" s="109"/>
      <c r="E534" s="109">
        <f>SUM(E535:E540)</f>
        <v>0</v>
      </c>
      <c r="F534" s="109">
        <f>SUM(F535:F540)</f>
        <v>0</v>
      </c>
      <c r="G534" s="109">
        <f>SUM(G535:G540)</f>
        <v>0</v>
      </c>
      <c r="H534" s="110">
        <f t="shared" si="0"/>
        <v>0</v>
      </c>
    </row>
    <row r="535" spans="1:8" s="127" customFormat="1" ht="40.5" customHeight="1">
      <c r="A535" s="106"/>
      <c r="B535" s="114"/>
      <c r="C535" s="108" t="s">
        <v>1323</v>
      </c>
      <c r="D535" s="112"/>
      <c r="E535" s="112">
        <v>0</v>
      </c>
      <c r="F535" s="112">
        <v>0</v>
      </c>
      <c r="G535" s="112">
        <v>0</v>
      </c>
      <c r="H535" s="110">
        <f t="shared" si="0"/>
        <v>0</v>
      </c>
    </row>
    <row r="536" spans="1:8" s="127" customFormat="1" ht="40.5" customHeight="1">
      <c r="A536" s="106"/>
      <c r="B536" s="114"/>
      <c r="C536" s="108" t="s">
        <v>1324</v>
      </c>
      <c r="D536" s="112"/>
      <c r="E536" s="112">
        <v>0</v>
      </c>
      <c r="F536" s="112">
        <v>0</v>
      </c>
      <c r="G536" s="112">
        <v>0</v>
      </c>
      <c r="H536" s="110">
        <f t="shared" si="0"/>
        <v>0</v>
      </c>
    </row>
    <row r="537" spans="1:8" s="127" customFormat="1" ht="40.5" customHeight="1">
      <c r="A537" s="106"/>
      <c r="B537" s="114"/>
      <c r="C537" s="108" t="s">
        <v>1325</v>
      </c>
      <c r="D537" s="112"/>
      <c r="E537" s="112">
        <v>0</v>
      </c>
      <c r="F537" s="112">
        <v>0</v>
      </c>
      <c r="G537" s="112">
        <v>0</v>
      </c>
      <c r="H537" s="110">
        <f t="shared" si="0"/>
        <v>0</v>
      </c>
    </row>
    <row r="538" spans="1:8" s="127" customFormat="1" ht="40.5" customHeight="1">
      <c r="A538" s="106"/>
      <c r="B538" s="114"/>
      <c r="C538" s="113" t="s">
        <v>1326</v>
      </c>
      <c r="D538" s="112"/>
      <c r="E538" s="112">
        <v>0</v>
      </c>
      <c r="F538" s="112">
        <v>0</v>
      </c>
      <c r="G538" s="112">
        <v>0</v>
      </c>
      <c r="H538" s="110">
        <f t="shared" si="0"/>
        <v>0</v>
      </c>
    </row>
    <row r="539" spans="1:8" s="127" customFormat="1" ht="40.5" customHeight="1">
      <c r="A539" s="106"/>
      <c r="B539" s="114"/>
      <c r="C539" s="108" t="s">
        <v>1327</v>
      </c>
      <c r="D539" s="112"/>
      <c r="E539" s="112">
        <v>0</v>
      </c>
      <c r="F539" s="112">
        <v>0</v>
      </c>
      <c r="G539" s="112">
        <v>0</v>
      </c>
      <c r="H539" s="110">
        <f t="shared" si="0"/>
        <v>0</v>
      </c>
    </row>
    <row r="540" spans="1:8" s="127" customFormat="1" ht="40.5" customHeight="1">
      <c r="A540" s="106"/>
      <c r="B540" s="114"/>
      <c r="C540" s="108" t="s">
        <v>1328</v>
      </c>
      <c r="D540" s="112"/>
      <c r="E540" s="112">
        <v>0</v>
      </c>
      <c r="F540" s="112">
        <v>0</v>
      </c>
      <c r="G540" s="112">
        <v>0</v>
      </c>
      <c r="H540" s="110">
        <f t="shared" si="0"/>
        <v>0</v>
      </c>
    </row>
    <row r="541" spans="1:8" s="127" customFormat="1" ht="40.5" customHeight="1">
      <c r="A541" s="106" t="s">
        <v>1299</v>
      </c>
      <c r="B541" s="114" t="s">
        <v>1300</v>
      </c>
      <c r="C541" s="115" t="s">
        <v>1322</v>
      </c>
      <c r="D541" s="109"/>
      <c r="E541" s="109">
        <f>SUM(E542:E547)</f>
        <v>0</v>
      </c>
      <c r="F541" s="109">
        <f>SUM(F542:F547)</f>
        <v>0</v>
      </c>
      <c r="G541" s="109">
        <f>SUM(G542:G547)</f>
        <v>0</v>
      </c>
      <c r="H541" s="110">
        <f t="shared" si="0"/>
        <v>0</v>
      </c>
    </row>
    <row r="542" spans="1:8" s="127" customFormat="1" ht="40.5" customHeight="1">
      <c r="A542" s="106"/>
      <c r="B542" s="114"/>
      <c r="C542" s="108" t="s">
        <v>1323</v>
      </c>
      <c r="D542" s="112"/>
      <c r="E542" s="112">
        <v>0</v>
      </c>
      <c r="F542" s="112">
        <v>0</v>
      </c>
      <c r="G542" s="112">
        <v>0</v>
      </c>
      <c r="H542" s="110">
        <f t="shared" si="0"/>
        <v>0</v>
      </c>
    </row>
    <row r="543" spans="1:8" s="127" customFormat="1" ht="40.5" customHeight="1">
      <c r="A543" s="106"/>
      <c r="B543" s="114"/>
      <c r="C543" s="108" t="s">
        <v>1324</v>
      </c>
      <c r="D543" s="112"/>
      <c r="E543" s="112">
        <v>0</v>
      </c>
      <c r="F543" s="112">
        <v>0</v>
      </c>
      <c r="G543" s="112">
        <v>0</v>
      </c>
      <c r="H543" s="110">
        <f t="shared" si="0"/>
        <v>0</v>
      </c>
    </row>
    <row r="544" spans="1:8" s="127" customFormat="1" ht="40.5" customHeight="1">
      <c r="A544" s="106"/>
      <c r="B544" s="114"/>
      <c r="C544" s="108" t="s">
        <v>1325</v>
      </c>
      <c r="D544" s="112"/>
      <c r="E544" s="112">
        <v>0</v>
      </c>
      <c r="F544" s="112">
        <v>0</v>
      </c>
      <c r="G544" s="112">
        <v>0</v>
      </c>
      <c r="H544" s="110">
        <f t="shared" si="0"/>
        <v>0</v>
      </c>
    </row>
    <row r="545" spans="1:8" s="127" customFormat="1" ht="40.5" customHeight="1">
      <c r="A545" s="106"/>
      <c r="B545" s="114"/>
      <c r="C545" s="113" t="s">
        <v>1326</v>
      </c>
      <c r="D545" s="112"/>
      <c r="E545" s="112">
        <v>0</v>
      </c>
      <c r="F545" s="112">
        <v>0</v>
      </c>
      <c r="G545" s="112">
        <v>0</v>
      </c>
      <c r="H545" s="110">
        <f t="shared" si="0"/>
        <v>0</v>
      </c>
    </row>
    <row r="546" spans="1:8" s="127" customFormat="1" ht="40.5" customHeight="1">
      <c r="A546" s="106"/>
      <c r="B546" s="114"/>
      <c r="C546" s="108" t="s">
        <v>1327</v>
      </c>
      <c r="D546" s="112"/>
      <c r="E546" s="112">
        <v>0</v>
      </c>
      <c r="F546" s="112">
        <v>0</v>
      </c>
      <c r="G546" s="112">
        <v>0</v>
      </c>
      <c r="H546" s="110">
        <f t="shared" si="0"/>
        <v>0</v>
      </c>
    </row>
    <row r="547" spans="1:8" s="127" customFormat="1" ht="40.5" customHeight="1">
      <c r="A547" s="106"/>
      <c r="B547" s="114"/>
      <c r="C547" s="108" t="s">
        <v>1328</v>
      </c>
      <c r="D547" s="112"/>
      <c r="E547" s="112">
        <v>0</v>
      </c>
      <c r="F547" s="112">
        <v>0</v>
      </c>
      <c r="G547" s="112">
        <v>0</v>
      </c>
      <c r="H547" s="110">
        <f t="shared" si="0"/>
        <v>0</v>
      </c>
    </row>
    <row r="549" spans="1:7" ht="131.25" customHeight="1">
      <c r="A549" s="138" t="s">
        <v>1360</v>
      </c>
      <c r="B549" s="138"/>
      <c r="C549" s="138"/>
      <c r="D549" s="138"/>
      <c r="E549" s="138"/>
      <c r="F549" s="138"/>
      <c r="G549" s="138"/>
    </row>
    <row r="551" spans="5:7" ht="18.75">
      <c r="E551" s="139">
        <f>E521+E514+E507+E500+E493+E486+E472+E465+E458+E451+E444+E437+E423+E416+E409+E402+E388+E381+E374+E360+E353+E346+E339+E325+E318+E311+E304+E297+E290+E283+E276+E269+E262+E255+E241+E234+E227+E220+E213+E206+E199+E192+E185+E178+E171+E164+E157+E150+E143+E136+E129+E122+E115+E108+E101+E94+E87+E80+E66+E59+E52+E45+E38+E31+E24</f>
        <v>7256761.699999997</v>
      </c>
      <c r="F551" s="139">
        <f>F521+F514+F507+F500+F493+F486+F472+F465+F458+F451+F444+F437+F423+F416+F409+F402+F388+F381+F374+F360+F353+F346+F339+F325+F318+F311+F304+F297+F290+F283+F276+F269+F262+F255+F241+F234+F227+F220+F213+F206+F199+F192+F185+F178+F171+F164+F157+F150+F143+F136+F129+F122+F115+F108+F101+F94+F87+F80+F66+F59+F52+F45+F38+F31+F24</f>
        <v>7224454.099999999</v>
      </c>
      <c r="G551" s="139">
        <f>G521+G514+G507+G500+G493+G486+G472+G465+G458+G451+G444+G437+G423+G416+G409+G402+G388+G381+G374+G360+G353+G346+G339+G325+G318+G311+G304+G297+G290+G283+G276+G269+G262+G255+G241+G234+G227+G220+G213+G206+G199+G192+G185+G178+G171+G164+G157+G150+G143+G136+G129+G122+G115+G108+G101+G94+G87+G80+G66+G59+G52+G45+G38+G31+G24</f>
        <v>6607432.7</v>
      </c>
    </row>
    <row r="554" spans="5:7" ht="18.75">
      <c r="E554" s="140">
        <f>E551+'ТАБЛИЦА 6'!I215+'ТАБЛИЦА 6'!I216</f>
        <v>13184703.699999997</v>
      </c>
      <c r="F554" s="140">
        <f>F551+'ТАБЛИЦА 6'!J215</f>
        <v>13959975.899999999</v>
      </c>
      <c r="G554" s="140">
        <f>G551+'ТАБЛИЦА 6'!K215</f>
        <v>13342954.5</v>
      </c>
    </row>
    <row r="556" spans="5:7" ht="18.75">
      <c r="E556" s="140">
        <f>E554-'ТАБЛИЦА 2'!F282</f>
        <v>0</v>
      </c>
      <c r="F556" s="140">
        <f>F554-'ТАБЛИЦА 2'!G282</f>
        <v>0</v>
      </c>
      <c r="G556" s="140">
        <f>G554-'ТАБЛИЦА 2'!H282</f>
        <v>0</v>
      </c>
    </row>
  </sheetData>
  <sheetProtection selectLockedCells="1" selectUnlockedCells="1"/>
  <autoFilter ref="A15:IG547"/>
  <mergeCells count="162">
    <mergeCell ref="D1:F1"/>
    <mergeCell ref="D2:F2"/>
    <mergeCell ref="A4:F4"/>
    <mergeCell ref="A6:A7"/>
    <mergeCell ref="B6:B7"/>
    <mergeCell ref="C6:C7"/>
    <mergeCell ref="D6:G6"/>
    <mergeCell ref="A9:A15"/>
    <mergeCell ref="B9:B15"/>
    <mergeCell ref="A16:A22"/>
    <mergeCell ref="B16:B22"/>
    <mergeCell ref="A23:A29"/>
    <mergeCell ref="B23:B29"/>
    <mergeCell ref="A30:A36"/>
    <mergeCell ref="B30:B36"/>
    <mergeCell ref="A37:A43"/>
    <mergeCell ref="B37:B43"/>
    <mergeCell ref="A44:A50"/>
    <mergeCell ref="B44:B50"/>
    <mergeCell ref="A51:A57"/>
    <mergeCell ref="B51:B57"/>
    <mergeCell ref="A58:A64"/>
    <mergeCell ref="B58:B64"/>
    <mergeCell ref="A65:A71"/>
    <mergeCell ref="B65:B71"/>
    <mergeCell ref="A72:A78"/>
    <mergeCell ref="B72:B78"/>
    <mergeCell ref="A79:A85"/>
    <mergeCell ref="B79:B85"/>
    <mergeCell ref="A86:A92"/>
    <mergeCell ref="B86:B92"/>
    <mergeCell ref="A93:A99"/>
    <mergeCell ref="B93:B99"/>
    <mergeCell ref="A100:A106"/>
    <mergeCell ref="B100:B106"/>
    <mergeCell ref="A107:A113"/>
    <mergeCell ref="B107:B113"/>
    <mergeCell ref="A114:A120"/>
    <mergeCell ref="B114:B120"/>
    <mergeCell ref="A121:A127"/>
    <mergeCell ref="B121:B127"/>
    <mergeCell ref="A128:A134"/>
    <mergeCell ref="B128:B134"/>
    <mergeCell ref="A135:A141"/>
    <mergeCell ref="B135:B141"/>
    <mergeCell ref="A142:A148"/>
    <mergeCell ref="B142:B148"/>
    <mergeCell ref="A149:A155"/>
    <mergeCell ref="B149:B155"/>
    <mergeCell ref="A156:A162"/>
    <mergeCell ref="B156:B162"/>
    <mergeCell ref="A163:A169"/>
    <mergeCell ref="B163:B169"/>
    <mergeCell ref="A170:A176"/>
    <mergeCell ref="B170:B176"/>
    <mergeCell ref="A177:A183"/>
    <mergeCell ref="B177:B183"/>
    <mergeCell ref="A184:A190"/>
    <mergeCell ref="B184:B190"/>
    <mergeCell ref="A191:A197"/>
    <mergeCell ref="B191:B197"/>
    <mergeCell ref="A198:A204"/>
    <mergeCell ref="B198:B204"/>
    <mergeCell ref="A205:A211"/>
    <mergeCell ref="B205:B211"/>
    <mergeCell ref="A212:A218"/>
    <mergeCell ref="B212:B218"/>
    <mergeCell ref="A219:A225"/>
    <mergeCell ref="B219:B225"/>
    <mergeCell ref="A226:A232"/>
    <mergeCell ref="B226:B232"/>
    <mergeCell ref="A233:A239"/>
    <mergeCell ref="B233:B239"/>
    <mergeCell ref="A240:A246"/>
    <mergeCell ref="B240:B246"/>
    <mergeCell ref="A247:A253"/>
    <mergeCell ref="B247:B253"/>
    <mergeCell ref="A254:A260"/>
    <mergeCell ref="B254:B260"/>
    <mergeCell ref="A261:A267"/>
    <mergeCell ref="B261:B267"/>
    <mergeCell ref="A268:A274"/>
    <mergeCell ref="B268:B274"/>
    <mergeCell ref="A275:A281"/>
    <mergeCell ref="B275:B281"/>
    <mergeCell ref="A282:A288"/>
    <mergeCell ref="B282:B288"/>
    <mergeCell ref="A289:A295"/>
    <mergeCell ref="B289:B295"/>
    <mergeCell ref="A296:A302"/>
    <mergeCell ref="B296:B302"/>
    <mergeCell ref="A303:A309"/>
    <mergeCell ref="B303:B309"/>
    <mergeCell ref="A310:A316"/>
    <mergeCell ref="B310:B316"/>
    <mergeCell ref="A317:A323"/>
    <mergeCell ref="B317:B323"/>
    <mergeCell ref="A324:A330"/>
    <mergeCell ref="B324:B330"/>
    <mergeCell ref="A331:A337"/>
    <mergeCell ref="B331:B337"/>
    <mergeCell ref="A338:A344"/>
    <mergeCell ref="B338:B344"/>
    <mergeCell ref="A345:A351"/>
    <mergeCell ref="B345:B351"/>
    <mergeCell ref="A352:A358"/>
    <mergeCell ref="B352:B358"/>
    <mergeCell ref="A359:A365"/>
    <mergeCell ref="B359:B365"/>
    <mergeCell ref="A366:A372"/>
    <mergeCell ref="B366:B372"/>
    <mergeCell ref="A373:A379"/>
    <mergeCell ref="B373:B379"/>
    <mergeCell ref="A380:A386"/>
    <mergeCell ref="B380:B386"/>
    <mergeCell ref="A387:A393"/>
    <mergeCell ref="B387:B393"/>
    <mergeCell ref="A394:A400"/>
    <mergeCell ref="B394:B400"/>
    <mergeCell ref="A401:A407"/>
    <mergeCell ref="B401:B407"/>
    <mergeCell ref="A408:A414"/>
    <mergeCell ref="B408:B414"/>
    <mergeCell ref="A415:A421"/>
    <mergeCell ref="B415:B421"/>
    <mergeCell ref="A422:A428"/>
    <mergeCell ref="B422:B428"/>
    <mergeCell ref="A429:A435"/>
    <mergeCell ref="B429:B435"/>
    <mergeCell ref="A436:A442"/>
    <mergeCell ref="B436:B442"/>
    <mergeCell ref="A443:A449"/>
    <mergeCell ref="B443:B449"/>
    <mergeCell ref="A450:A456"/>
    <mergeCell ref="B450:B456"/>
    <mergeCell ref="A457:A463"/>
    <mergeCell ref="B457:B463"/>
    <mergeCell ref="A464:A470"/>
    <mergeCell ref="B464:B470"/>
    <mergeCell ref="A471:A477"/>
    <mergeCell ref="B471:B477"/>
    <mergeCell ref="A478:A484"/>
    <mergeCell ref="B478:B484"/>
    <mergeCell ref="A485:A491"/>
    <mergeCell ref="B485:B491"/>
    <mergeCell ref="A492:A498"/>
    <mergeCell ref="B492:B498"/>
    <mergeCell ref="A499:A505"/>
    <mergeCell ref="B499:B505"/>
    <mergeCell ref="A506:A512"/>
    <mergeCell ref="B506:B512"/>
    <mergeCell ref="A513:A519"/>
    <mergeCell ref="B513:B519"/>
    <mergeCell ref="A520:A526"/>
    <mergeCell ref="B520:B526"/>
    <mergeCell ref="A527:A533"/>
    <mergeCell ref="B527:B533"/>
    <mergeCell ref="A534:A540"/>
    <mergeCell ref="B534:B540"/>
    <mergeCell ref="A541:A547"/>
    <mergeCell ref="B541:B547"/>
    <mergeCell ref="A549:G549"/>
  </mergeCells>
  <printOptions/>
  <pageMargins left="0.7" right="0.7" top="0.75" bottom="0.75" header="0.5118055555555555" footer="0.5118055555555555"/>
  <pageSetup horizontalDpi="300" verticalDpi="300" orientation="landscape" paperSize="9" scale="41"/>
  <rowBreaks count="5" manualBreakCount="5">
    <brk id="92" max="255" man="1"/>
    <brk id="281" max="255" man="1"/>
    <brk id="351" max="255" man="1"/>
    <brk id="379" max="255" man="1"/>
    <brk id="40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Наташа  Воробьёва</cp:lastModifiedBy>
  <cp:lastPrinted>2015-02-23T13:47:16Z</cp:lastPrinted>
  <dcterms:created xsi:type="dcterms:W3CDTF">2012-05-02T04:54:05Z</dcterms:created>
  <dcterms:modified xsi:type="dcterms:W3CDTF">2015-02-23T13:55:30Z</dcterms:modified>
  <cp:category/>
  <cp:version/>
  <cp:contentType/>
  <cp:contentStatus/>
  <cp:revision>351</cp:revision>
</cp:coreProperties>
</file>