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96" activeTab="9"/>
  </bookViews>
  <sheets>
    <sheet name="Таблица 1" sheetId="1" r:id="rId1"/>
    <sheet name="Таблица 2" sheetId="2" r:id="rId2"/>
    <sheet name="Таблица 3" sheetId="3" r:id="rId3"/>
    <sheet name="Таблица 4" sheetId="4" r:id="rId4"/>
    <sheet name="Таблица 5" sheetId="5" r:id="rId5"/>
    <sheet name="Таблица 6" sheetId="6" r:id="rId6"/>
    <sheet name="Таблица 6 приложения 2" sheetId="7" r:id="rId7"/>
    <sheet name="Таблица 7" sheetId="8" r:id="rId8"/>
    <sheet name="Таблица 7 приложения 2" sheetId="9" r:id="rId9"/>
    <sheet name="Таблица 7а" sheetId="10" r:id="rId10"/>
    <sheet name="Расчет показателя 24 " sheetId="11" state="hidden" r:id="rId11"/>
  </sheets>
  <externalReferences>
    <externalReference r:id="rId14"/>
  </externalReferences>
  <definedNames>
    <definedName name="_xlnm.Print_Area" localSheetId="1">'Таблица 2'!$A$1:$H$93</definedName>
    <definedName name="_xlnm.Print_Area" localSheetId="5">'Таблица 6'!$A$1:$F$97</definedName>
    <definedName name="_xlnm._FilterDatabase" localSheetId="5" hidden="1">'Таблица 6'!$A$7:$M$7</definedName>
    <definedName name="_xlnm.Print_Area" localSheetId="6">'Таблица 6 приложения 2'!$A$1:$G$120</definedName>
    <definedName name="_xlnm.Print_Area" localSheetId="7">'Таблица 7'!$A$1:$F$470</definedName>
    <definedName name="_xlnm._FilterDatabase" localSheetId="7" hidden="1">'Таблица 7'!$A$7:$F$469</definedName>
  </definedNames>
  <calcPr fullCalcOnLoad="1"/>
</workbook>
</file>

<file path=xl/sharedStrings.xml><?xml version="1.0" encoding="utf-8"?>
<sst xmlns="http://schemas.openxmlformats.org/spreadsheetml/2006/main" count="2843" uniqueCount="795">
  <si>
    <t>«Йӧзӧс социальнӧя дорйӧм» Коми Республикаса канму уджтас вынсьӧдӧм йылысь»</t>
  </si>
  <si>
    <t xml:space="preserve">Коми Республикаса Веськӧдлан котырлӧн </t>
  </si>
  <si>
    <t>2012 во кӧч тӧлысь 28 лунся 412 №-а шуӧмӧ пыртӧм вежсьӧмъяс дорӧ</t>
  </si>
  <si>
    <t>СОДТӦД</t>
  </si>
  <si>
    <t>«1 таблица</t>
  </si>
  <si>
    <t>«Йӧзӧс социальнӧя дорйӧм» Коми Республикаса канму уджтаслӧн, канму уджтасса уджтасувъяслӧн петкӧдласъяс (индикаторъяс) йылысь да налӧн вежӧртасъяс йылысь юӧр</t>
  </si>
  <si>
    <t xml:space="preserve">д/в № </t>
  </si>
  <si>
    <t>Петкӧдлас (индикатор) (ним)</t>
  </si>
  <si>
    <t>Мурталан ед.</t>
  </si>
  <si>
    <t>Петкӧдласъяслӧн вежӧртасъяс</t>
  </si>
  <si>
    <t>«Йӧзӧс социальнӧя дорйӧм» Коми Республикаса канму уджтас</t>
  </si>
  <si>
    <t>1.</t>
  </si>
  <si>
    <t>Торъя категорияя гражданалӧн юкӧн, кодъяслы сетісны социальнӧй отсӧг, гражданалӧн ӧтувъя лыд дорӧ, кодъяс шыӧдчисны да налӧн эм инӧд босьтны тайӧ отсӧгсӧ</t>
  </si>
  <si>
    <t xml:space="preserve">% </t>
  </si>
  <si>
    <t>2.</t>
  </si>
  <si>
    <t xml:space="preserve">Граждана юкӧн, кодъясӧс социальнӧя могмӧдӧны гортын, татшӧм могмӧдӧм вылӧ шыӧдчысьяслӧн ӧтувъя лыд дорӧ </t>
  </si>
  <si>
    <t>3.</t>
  </si>
  <si>
    <r>
      <t>Г</t>
    </r>
    <r>
      <rPr>
        <sz val="12"/>
        <rFont val="Liberation Serif;Times New Roman"/>
        <family val="1"/>
      </rPr>
      <t>раждана юкӧн, кодъяслы сетісны социальнӧй услугаяс йӧзӧс социальнӧя могмӧдан стационар учреждениеясын, социальнӧя могмӧдан стационар учреждениеясӧ социальнӧй услугаясла шыӧдчӧм гражданалӧн ӧтувъя лыдын</t>
    </r>
  </si>
  <si>
    <t>1 уджтасув. Йӧзӧс социальнӧя доръян юкӧнын канму социальнӧй обязательствояс</t>
  </si>
  <si>
    <t>1 мог. Торъя категорияа гражданалы социальнӧй отсӧг сетан мераяс да канму социальнӧй гарантияяс ас кадӧ да тырвыйӧ сетӧм котыртӧм</t>
  </si>
  <si>
    <t>4.</t>
  </si>
  <si>
    <t>Йӧзӧс социальнӧя дорйӧмын канму социальнӧй обязательствояс збыльмӧдӧм кузя нюжӧдӧм кредит уджйӧзлӧн ыджда</t>
  </si>
  <si>
    <t>сюрс шайт</t>
  </si>
  <si>
    <t>2 мог. Боевӧй тышса ветеранъяслы да вермытӧмъяслы, бать-мамтӧм да бать-мам дӧзьӧртӧг кольӧм челядь лыдысь гражданалы оланінӧн могмӧдӧмын отсӧг сетӧм</t>
  </si>
  <si>
    <t>5.</t>
  </si>
  <si>
    <t>Боевӧй тышса ветеранъяслӧн да вермытӧмъяслӧн юкӧн, кодъяс босьтісны олан жыръяс ньӧбӧм вылӧ ӧтпырся сьӧмӧн мынтысьӧм, тайӧ категорияа гражданалӧн ӧтувъя лыдысь, кодъяслӧн эм мынтысьӧм босьтӧм вылӧ инӧд да кодъяс мунан воын шыӧдчисны мынтысьӧмла</t>
  </si>
  <si>
    <t>6.</t>
  </si>
  <si>
    <t>Бать-мамтӧм челядьлӧн да бать-мам дӧзьӧртӧг кольӧм челядьлӧн, бать-мамтӧм челядь да бать-мам дӧзьӧртӧг кольӧм челядь лыдысь йӧзлӧн лыд, кодъясӧс могмӧдӧма олан жыръясӧн социальнӧя медалӧм йылысь сёрнитчӧмъяс серти, сы лыдын ёрдлӧн помшуӧмъяс серти</t>
  </si>
  <si>
    <t>морт</t>
  </si>
  <si>
    <t>-</t>
  </si>
  <si>
    <t>6.1.</t>
  </si>
  <si>
    <t>Бать-мамтӧм да бать-мам дӧзьӧртӧг кольӧм челядьлӧн, бать-мамтӧм да бать-мам дӧзьӧртӧг кольӧм челядь лыдысь йӧзлӧн лыд, кодъясӧс могмӧдӧма специализируйтӧм олан жыръяс медалӧм йылысь сёрнитчӧмъяс серти муниципальнӧй специализируйтӧм оланін фондысь олан жыръясӧн</t>
  </si>
  <si>
    <t>6.2.</t>
  </si>
  <si>
    <t xml:space="preserve">Бать-мамтӧм да бать-мам дӧзьӧртӧг кольӧм челядьлӧн, бать-мамтӧм да бать-мам дӧзьӧртӧг кольӧм челядь лыдысь йӧзлӧн лыд, кодъяслӧн сьӧма во заводитчӧм вылӧ эм инӧд олан жыръясӧн могмӧдӧм вылӧ да тайӧ инӧдсӧ ас кадӧ эз збыльмӧдны </t>
  </si>
  <si>
    <t>6.3.</t>
  </si>
  <si>
    <t>Бать-мамтӧм, бать-мам дӧзьӧртӧг кольӧм челядьлӧн да бать-мамтӧм да бать-мам дӧзьӧртӧг кольӧм челядь лыдысь йӧзлӧн юкӧн, кодъяс сулалісны олан жыр босьтӧм вылӧ учётын, на пӧвстӧ 23 арӧса да ыджыдджык арлыдаясӧс пыртӧмӧн, кодъясӧс отчётнӧй воын могмӧдісны олан жыръясӧн, бать-мамтӧм, бать-мам дӧзьӧртӧг кольӧм челядьлӧн да на лыдӧ пырысь йӧзлӧн ӧтувъя лыдын, кодъяс сулалӧны олан жыр босьтӧм вылӧ учётын, 23 да ыджыдджык арлыда йӧзӧс пыртӧмӧн</t>
  </si>
  <si>
    <t xml:space="preserve">3 мог. Гражданалӧысь чӧжӧсъяс урчитӧмӧн канму социальнӧй обязательствояслысь адресносьтсӧ бурмӧдӧм </t>
  </si>
  <si>
    <t>7.</t>
  </si>
  <si>
    <t xml:space="preserve">Гражданалысь чӧжӧс урчитӧмӧн сетан канму услугаяс вылӧ рӧскод юкӧн, рӧскодлӧн ӧтувъя ыдждаын, кутшӧмъясӧс урчитӧма йӧзӧс социальнӧя дорйӧмын канму социальнӧй обязательствояс збыльмӧдӧм вылӧ </t>
  </si>
  <si>
    <t>8.</t>
  </si>
  <si>
    <t>Аскотыръяслӧн юкӧн, кутшӧмъяс босьтӧны олан жырйысь да коммунальнӧй услугаясысь вештысьӧм вылӧ субсидияяс, Коми Республикаса аскотыръяслӧн ӧтувъя лыдын</t>
  </si>
  <si>
    <t xml:space="preserve">4 мог. Йӧзӧс социальнӧя доръян юкӧнын канму социальнӧй обязательствояс збыльмӧдігӧн ӧнія юӧр технологияяс пыртӧм </t>
  </si>
  <si>
    <t>9.</t>
  </si>
  <si>
    <t>Йӧзӧс социальнӧя доръян юкӧнын электроннӧя сетан канму услугаяслӧн юкӧн, йӧзӧс социальнӧя доръян юкӧнын услугаяс электроннӧя сетӧм вылӧ юӧр системаяслӧн техническӧй позянлунъяс серти электроннӧя сетан канму услугаяслӧн ӧтувъя лыдысь</t>
  </si>
  <si>
    <t>%</t>
  </si>
  <si>
    <t>10.</t>
  </si>
  <si>
    <t xml:space="preserve">Йӧзӧс социальнӧя доръян юкӧнса учреждениеясын, кутшӧмъясӧс пыртӧма ведомствокостса ӧтувъя электроннӧй удж системаӧ да канму услугаяс порталӧ, автоматизируйтӧм уджалан инъяслӧн юкӧн, йӧзӧс социальнӧя доръян юкӧнса учреждениеясын уджалан инъяс автоматизируйтны колана лыдысь </t>
  </si>
  <si>
    <t>11.</t>
  </si>
  <si>
    <t> Йӧзӧс социальнӧя доръян юкӧнын учреждениеяслӧн юкӧн, кутшӧмъяс нуӧдӧны клиентъяскӧд удж волысьяслӧн ӧчередьӧн электроннӧя веськӧдлан система отсӧгӧн,  йӧзӧс социальнӧя доръян юкӧнын учреждение лыдысь, кӧні колӧны электроннӧй системаяс</t>
  </si>
  <si>
    <t>12.</t>
  </si>
  <si>
    <t>Йӧзӧс социальнӧя доръян юкӧнса учреждениеясын ачыд асьтӧ могмӧдан юӧр терминалъяслӧн юкӧн, кутшӧмъясӧс пыртӧма юӧр системаясӧ, терминалъяслӧн ӧтувъя лыдысь, кутшӧмъясӧс сувтӧдӧма учреждениеясын йӧзӧс социальнӧя доръян юкӧнын</t>
  </si>
  <si>
    <r>
      <t>2 уджтасув.</t>
    </r>
    <r>
      <rPr>
        <b/>
        <sz val="12"/>
        <rFont val="Times New Roman"/>
        <family val="1"/>
      </rPr>
      <t xml:space="preserve"> Йӧзӧс социальнӧя могмӧдан система</t>
    </r>
  </si>
  <si>
    <t>1 мог. Йӧзӧс социальнӧя доръян юкӧнса учреждениеясын сибаланлун кыпӧдӧм</t>
  </si>
  <si>
    <t>13.</t>
  </si>
  <si>
    <t>Пӧрысьяслы да вермытӧмъяслы социальнӧя могмӧдан стационар учреждениеяслӧн йӧзлы судзсянлун</t>
  </si>
  <si>
    <t>10 сюрс морт вылӧ места</t>
  </si>
  <si>
    <t>14.</t>
  </si>
  <si>
    <t xml:space="preserve">Пӧрысьяслы да вермытӧмъяслы керка-интернатъясӧ ӧчередь </t>
  </si>
  <si>
    <t>15.</t>
  </si>
  <si>
    <t>«Емва карын пӧрысьяслы да вермытӧмъяслы керка-интернатлӧн сёяніна-узьлан корпус» объектлӧн техническӧй дасьлун тшупӧд</t>
  </si>
  <si>
    <t>16.</t>
  </si>
  <si>
    <t>«Сыктывкарын Тентюковса пӧрысьяслы да вермытӧмъяслы республиканскӧй керка-интернат 90 места вылӧ ыдждӧдӧм» объектлӧн техническӧй дасьлун тшупӧд</t>
  </si>
  <si>
    <t>17.</t>
  </si>
  <si>
    <t xml:space="preserve">«Сыктыв районса Куниб сиктын Кунибса республиканскӧй психоневрологическӧй интернат 70 места вылӧ ыдждӧдӧм» объектлӧн техническӧй дасьлун тшупӧд </t>
  </si>
  <si>
    <t>18.</t>
  </si>
  <si>
    <t>«Ухта карын Ухтаса республиканскӧй психоневрологическӧй интернат 50 места вылӧ ыдждӧдӧм» объектлӧн техническӧй дасьлун тшупӧд</t>
  </si>
  <si>
    <t>19.</t>
  </si>
  <si>
    <t>Йӧзӧс социальнӧя дорйӧмын медтӧдчана объектъяслӧн юкӧн, кутшӧмъяс вылӧ лӧсьӧдӧма сибаланлун паспортъяс, йӧзӧс социальнӧя дорйӧмын тӧдчана объектъяслӧн ӧтувъя лыдын</t>
  </si>
  <si>
    <t>20.</t>
  </si>
  <si>
    <t>Вермытӧмъяслы да йӧзлӧн мукӧд этша вешъялан группаяслы сибалана йӧзӧс социальнӧя могмӧдан канму учреждениеяслӧн юкӧн, йӧзӧс социальнӧя могмӧдан учреждениеяслӧн ӧтувъя лыдын</t>
  </si>
  <si>
    <t>21.</t>
  </si>
  <si>
    <t>Аскотыръяс да челядьӧс социальнӧя могмӧдан учреждениеяслӧн юкӧн, кутшӧмъяс пыртӧны Коми Республикаса гражданаӧс ылісянь (заочнӧя) консультируйтан система, ӧнія электроннӧй ӧта-мӧдкост йитӧда средствояс (электроннӧй пошта, скайп) отсӧгӧн, аскотыръяс да челядьӧс социальнӧя могмӧдан учреждениеяслӧн ӧтувъя лыдын</t>
  </si>
  <si>
    <t>2 мог. Йӧзӧс социальнӧя доръян юкӧнын учреждениеяс выльмӧдӧм</t>
  </si>
  <si>
    <t>22.</t>
  </si>
  <si>
    <t>Учреждениеяслӧн юкӧн, кутшӧмъяслы ньӧбӧма оборудованиесӧ, йӧзӧс социальнӧя могмӧдан учреждениеяслӧн ӧтувъя лыдын</t>
  </si>
  <si>
    <t>23.</t>
  </si>
  <si>
    <t xml:space="preserve">Жыръяслӧн, кӧні мунісны дзоньталан уджъяс,  ыдждаысь юкӧн, учреждениеясӧн займитан зданиеяслӧн ӧтувъя ыдждаысь </t>
  </si>
  <si>
    <t>24.</t>
  </si>
  <si>
    <t xml:space="preserve">Йӧзӧс социальнӧя могмӧдан учреждениеясса (йӧзлӧн вогӧгӧрся олӧмӧн) пу зданиеяслӧн юкӧн,  йӧзӧс социальнӧя могмӧдан учреждениеясса (йӧзлӧн вогӧгӧрся олӧмӧн) зданиеяслӧн ӧтувъя лыдын </t>
  </si>
  <si>
    <t>25.</t>
  </si>
  <si>
    <t>Социальнӧя могмӧдан стационар учреждениеясын граждана юкӧн, кодъяслы бурмӧдісны олан условиеяс, стационар учреждениеясын олысьяслӧн ӧтувъя лыдысь (быд во)</t>
  </si>
  <si>
    <t>3 мог. Йӧзӧс социальнӧя доръян юкӧнын учреждениеяслысь удж котыртӧм бурмӧдӧм</t>
  </si>
  <si>
    <t>26.</t>
  </si>
  <si>
    <t>Йӧзӧс социальнӧй услугаясӧн могмӧдан тшупӧд, йӧзлӧн ӧтувъя лыдын, кодъяслы колӧны татшӧм услугаясыс</t>
  </si>
  <si>
    <t>27.</t>
  </si>
  <si>
    <t>Коми Республикаын канму учреждениеясса социальнӧй уджалысьяслысь шӧр удждоныс Коми Республикаын шӧр удждон дорӧ</t>
  </si>
  <si>
    <t>28.</t>
  </si>
  <si>
    <t>Тыр арлыдтӧмъяслӧн юкӧн, кодъяс прӧйдитісны  тыр арлыдтӧмъяслы, кодъяслы колӧ социальнӧй реабилитация, специализируйтӧм учреждениеясын реабилитация, тыр арлыдтӧмъяслӧн ӧтувъя лыдын, кодъяс лоӧны социальнӧй боксянь ӧпаснӧй оланногын да сулалӧны учёт вылын йӧзӧс социальнӧя могмӧдан учреждениеясын</t>
  </si>
  <si>
    <t>29.</t>
  </si>
  <si>
    <t>Бать-мамтӧм да бать-мам дӧзьӧртӧг кольӧм челядьлӧн, кодъясӧс сетӧма быдтыны аскотыръясӧ, юкӧн, бать-мамтӧм да бать-мам дӧзьӧртӧг кольӧм челядьлӧн ӧтувъя лыдын</t>
  </si>
  <si>
    <t>30.</t>
  </si>
  <si>
    <t>Мӧдлаӧ нуӧм тыр арлыдтӧм челядьлӧн юкӧн, кодъяс юасьтӧг мунісны аскотыръясысь, челядь керкаясысь, школа-интернатъясысь, специальнӧй быдтан-велӧдан да мукӧд челядь учреждениеысь,  тыр арлыдтӧм челядьлӧн ӧтувъя лыдын, кодъясӧс колӧ  мӧдлаӧ нуны</t>
  </si>
  <si>
    <t xml:space="preserve">4 мог. Социальнӧй услугаяс сетӧм кузя технологияяс да бур окталуна уджтасъяс лӧсьӧдӧм да пыртӧм </t>
  </si>
  <si>
    <t>31.</t>
  </si>
  <si>
    <t>Пикӧ воӧм аскотыръяскӧд да челядькӧд социальнӧй уджын бур бӧртаса балаяслӧн лыд, кутшӧмъясӧс лӧсьӧдісны да быд во збыльмӧдӧны йӧзӧс социальнӧя могмӧдан учреждениеясын</t>
  </si>
  <si>
    <t>единица</t>
  </si>
  <si>
    <t>32.</t>
  </si>
  <si>
    <t>Бать-мам дӧзьӧртӧг кольӧм челядьлӧн, кодъяс олӧны став сикас канму (муниципальнӧй) учреждениеын, юкӧн — ставнас, сы лыдын кодъясӧс сетісны эз рӧдвужлы (приёмнӧй аскотыръясӧ, пи пыдди (ныв пыдди) босьтӧм вылӧ, тӧралӧм (тӧждысьӧм) вылӧ), иналісны мӧд сикас аскотырӧ (аскотыра челядьлы керкаясӧ, патронатнӧй аскотыръясӧ)</t>
  </si>
  <si>
    <t>33.</t>
  </si>
  <si>
    <t>Тӧралысьясӧ (тӧждысьысьясӧ), пи (ныв) пыдди босьтысьясӧ, босьтысь бать-мамӧ кандидатъяслӧн юкӧн, кандидатъяслӧн ӧтувъя лыдысь, кодъяслы колӧ прӧйдитны колана дасьтысьӧмсӧ аскотырӧ кагаӧс босьтігӧн</t>
  </si>
  <si>
    <t>34.</t>
  </si>
  <si>
    <t>Йӧзӧс социальнӧя дорйӧмын канму услугаяс сетӧм кузя шӧринъяс бердын олӧма гражданаӧс социальнӧя да медицина боксянь могмӧдӧм вылӧ уджалан мобильнӧй бригадаяслӧн юкӧн, йӧзӧс социальнӧя доръян юкӧнын канму услугаяс сетӧм кузя шӧринъяслӧн ӧтувъя лыд дінӧ</t>
  </si>
  <si>
    <t xml:space="preserve">5 мог. Йӧзӧс социальнӧя дорйӧмын услугаяс рынокса участникъясӧс содтӧм </t>
  </si>
  <si>
    <t>35.</t>
  </si>
  <si>
    <t xml:space="preserve">Граждана лыд, кодъяс участвуйтӧны социальнӧй туйвизя абу коммерческӧй организацияяслӧн уджын </t>
  </si>
  <si>
    <t>сюрс морт</t>
  </si>
  <si>
    <t>36.</t>
  </si>
  <si>
    <t>Абу канму стационар учреждениеяслӧн юкӧн, кутшӧмъяс сетӧны социальнӧй услугаяс, стационар учреждениеяслӧн ӧтувъя лыдысь</t>
  </si>
  <si>
    <t>3 уджтасув. Канму уджтас збыльмӧдӧм могмӧдӧм.</t>
  </si>
  <si>
    <t xml:space="preserve">1 мог. Олӧмӧ пӧртысь власьт органъясӧн мероприятиеяс збыльмӧдӧмӧн веськӧдлӧм могмӧдӧм </t>
  </si>
  <si>
    <t>37.</t>
  </si>
  <si>
    <t xml:space="preserve">Уджтаслысь да уджтасувъяслысь лыдпасъяс быдвося шедӧдан тшупӧд </t>
  </si>
  <si>
    <t xml:space="preserve">2 мог. Йӧзӧс социальнӧя доръян юкӧнын мутас органъясӧн да канму учреждениеясӧн мероприятиеяс збыльмӧдӧмӧн веськӧдлӧм могмӧдӧм </t>
  </si>
  <si>
    <t>38.</t>
  </si>
  <si>
    <t>2 таблица</t>
  </si>
  <si>
    <t xml:space="preserve">«Йӧзӧс социальнӧя дорйӧм» Коми Республикаса канму уджтаслӧн медшӧр мероприятие лыддьӧг </t>
  </si>
  <si>
    <t>д/в №</t>
  </si>
  <si>
    <t xml:space="preserve">Медшӧр мероприятиелӧн номер да ним </t>
  </si>
  <si>
    <t>Кывкутана збыльмӧдысь</t>
  </si>
  <si>
    <t xml:space="preserve">Кадколаст </t>
  </si>
  <si>
    <t>Виччысяна медшӧр бӧртас (дженьыда серпасалӧм)</t>
  </si>
  <si>
    <t>Медшӧр мероприятие збыльмӧдтӧмысь лоӧмтор</t>
  </si>
  <si>
    <t>Канму уджтасса (уджтасувса) лыдпасъяскӧд йитӧд</t>
  </si>
  <si>
    <t>збыльмӧдӧм заводитчӧм</t>
  </si>
  <si>
    <t>збыльмӧдӧм помалӧм</t>
  </si>
  <si>
    <t>1 мог. Торъя категорияа гражданалы социальнӧя отсалан мераяс да канму социальнӧй гарантияяс ас кадӧ да тырвыйӧ сетӧм котыртӧм</t>
  </si>
  <si>
    <t>1.01.01. «Коми Республикаын йӧзлы социальнӧй отсӧг сетӧм йылысь» Коми Республикаса Оланпас збыльмӧдӧм</t>
  </si>
  <si>
    <t>Коми Республикаса йӧзлы отсӧг сетан агентство; Коми Республикаса йӧзлысь дзоньвидзалун видзан министерство</t>
  </si>
  <si>
    <t>2013 во</t>
  </si>
  <si>
    <t>2020 во</t>
  </si>
  <si>
    <t xml:space="preserve">Федеральнӧй да республикаса оланпастэчас серти торъя категорияа гражданалы социальнӧй отсӧг тырвыйӧ да урчитӧм кадӧ сетӧм гарантируйтӧм </t>
  </si>
  <si>
    <t>Торъя категорияа гражданалӧн, кодъяслӧн эм социальнӧй отсӧг сетӧм вылӧ гарантируйтӧм инӧд, олан тшупӧд чинӧм</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</si>
  <si>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</si>
  <si>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t>1.01.02. Торъя категорияа гражданалысь оланін да коммунальнӧй услугаяс вештӧм</t>
  </si>
  <si>
    <t>Коми Республикаса йӧзлы отсӧг сетан агентство</t>
  </si>
  <si>
    <t xml:space="preserve">Федеральнӧй да республикаса оланпастэчас серти торъя категорияя гражданалы социальнӧй отсӧг тырвыйӧ да урчитӧм кадӧ сетӧм гарантируйтӧм </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</si>
  <si>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</si>
  <si>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t xml:space="preserve">1.01.03. Торъя категорияа гражданалы Коми Республика мутасын йӧзкостса транспорт услугаяслысь ӧткодь сибаланлун могмӧдӧм </t>
  </si>
  <si>
    <t>Торъя категорияа гражданалӧн олан тшупӧд чинӧм, кодъяслӧн эм социальнӧй отсӧг сетӧм вылӧ гарантируйтӧм инӧд</t>
  </si>
  <si>
    <t>1.01.04. Пенсияяс дорӧ содтӧдъяс, пенсионнӧя содтӧд могмӧдӧм</t>
  </si>
  <si>
    <t>1.01.05. «Гуасьӧм йылысь» Федеральнӧй оланпас збыльмӧдӧм</t>
  </si>
  <si>
    <t>1.01.06. «Торъя категорияа гражданалы Коми Республика водзын торъя заслугаясысь сьӧмӧн быд тӧлысся мынтысьӧм йылысь» Коми Республикаса Оланпас збыльмӧдӧм</t>
  </si>
  <si>
    <t>1.01.07. «Коми Республика мутасын челядя аскотыръяслы социальнӧй отсӧг сетӧмын содтӧд мераяс йылысь» Коми Республикаса Оланпас збыльмӧдӧм</t>
  </si>
  <si>
    <t>1.01.08. Уджтас олӧмӧ пӧртігӧн «Коми Республикаын кӧр видзӧм йылысь» Коми Республикаса Оланпас збыльмӧдӧм</t>
  </si>
  <si>
    <t>Торъя категорияа гражданалӧн олан тшупӧд чинӧм, кодъяслӧн эм социальнӧй отсӧг сетӧм вылӧ гарантируйтӧм инӧд,</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</si>
  <si>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</si>
  <si>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t>1.01.09. «Сьӧм абутӧм вӧсна пикӧ воӧм гражданалы ӧтпырся сьӧма отсӧг кузя социальнӧй мынтысьӧмъяс йылысь» Коми Республикаса Оланпас збыльмӧдӧм</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</si>
  <si>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</si>
  <si>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t>1.01.10.«Социальнöй тöдчанлуна висьöмъясöн да йöзлы öпаснöй висьöмъясöн висьысь гражданалы социальнöй отсöг сетан мераяс йылысь»  Коми Республикаса Оланпас збыльмӧдӧм</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</si>
  <si>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</si>
  <si>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t>1.01.11. Уджтас олӧмӧ пӧртігӧн «Коми Республика мутасын юридическӧй отсӧг сетӧмын ӧткымын юалӧм йылысь» Коми Республикаса Оланпас збыльмӧдӧм</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</si>
  <si>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</si>
  <si>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r>
      <t xml:space="preserve">1.01.12.  </t>
    </r>
    <r>
      <rPr>
        <sz val="10"/>
        <rFont val="Times New Roman"/>
        <family val="1"/>
      </rPr>
      <t xml:space="preserve">«1941 – 1945 воясся Айму вӧсна Ыджыд тышын Вермӧм лун  пасйӧмкӧд йитӧдын </t>
    </r>
    <r>
      <rPr>
        <sz val="10"/>
        <color indexed="8"/>
        <rFont val="Times New Roman"/>
        <family val="1"/>
      </rPr>
      <t>торъя категорияа гражданалы ӧтпырся сьӧмӧн мынтӧмӧн социальнӧй отсӧг йылысь</t>
    </r>
    <r>
      <rPr>
        <sz val="10"/>
        <rFont val="Times New Roman"/>
        <family val="1"/>
      </rPr>
      <t>» Коми Республикаса Веськӧ</t>
    </r>
    <r>
      <rPr>
        <sz val="10"/>
        <rFont val="Times New Roman"/>
        <family val="1"/>
      </rPr>
      <t xml:space="preserve">длан котырлысь шуӧм збыльмӧдӧм </t>
    </r>
  </si>
  <si>
    <t>1.01.13. Ылі Войвыв районъясысь мунысь гражданалы, сы лыдын Ылі Войвыв районъяс социальнӧя тэчасалан пилотнӧй проектса участникъяслы транспорт рӧскод вештӧм</t>
  </si>
  <si>
    <t>1.01.14. «Коми Республикаса Веськӧдлан котырлӧн премияяс йылысь» Коми Республикаса Веськӧдлан котырлӧн 2007 во вӧльгым тӧлысь 26 лунся 277 №-а шуӧм збыльмӧдӧм</t>
  </si>
  <si>
    <t>1.01.15. Вакцинируйтӧм бӧрын висьмигӧн гражданалы канмусянь ӧтпырся пособие да сьӧмӧн быд тӧлысся компенсация мынтӧм</t>
  </si>
  <si>
    <t xml:space="preserve">1.01.16. «Россияса почёта донор» морӧспасӧн наградитӧм йӧзлы сьӧмӧн быд вося мынтӧм кузя Россия Федерациялысь сетӧм уджмог збыльмӧдӧм </t>
  </si>
  <si>
    <t>1.01.17. Транспорт средство кутысьяслӧн гражданскӧй кывкутӧм быть страхуйтӧм йылысь сёрнитчӧмъяс серти вермытӧмъяслы страхуйтан премияяс компенсацияӧн мынтысьӧмъяс</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</si>
  <si>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</si>
  <si>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t xml:space="preserve">1.01.18. Призыв серти военнӧй служба нуысь военнослужащӧйлӧн нӧбасьысь гӧтырлы ӧтпырся пособие, а сідзжӧ призыв серти служба нуысь военнослужащӧйлӧн кага вылӧ быдтӧлысся пособие мынтӧм </t>
  </si>
  <si>
    <r>
      <t xml:space="preserve">1.01.19. Уджтас олӧмӧ пӧртігӧн </t>
    </r>
    <r>
      <rPr>
        <sz val="10"/>
        <rFont val="Times New Roman"/>
        <family val="1"/>
      </rPr>
      <t xml:space="preserve">«Коми Республикаын асвӧляысь пӧжарысь видзан юкӧнын йитӧдъяс ладмӧдӧм йылысь» Коми Республикаса Оланпас </t>
    </r>
    <r>
      <rPr>
        <sz val="10"/>
        <color indexed="8"/>
        <rFont val="Times New Roman"/>
        <family val="1"/>
      </rPr>
      <t xml:space="preserve"> збыльмӧдӧм </t>
    </r>
  </si>
  <si>
    <r>
      <t xml:space="preserve">1.01.20. </t>
    </r>
    <r>
      <rPr>
        <sz val="10"/>
        <rFont val="Times New Roman"/>
        <family val="1"/>
      </rPr>
      <t>Коми Республика мутасын велӧдан организацияясӧ, кутшӧмъяс збыльмӧдӧны школаӧдзса велӧдан уджтас, ветлӧдлысь челядьӧс видзӧмысь да на бӧрся дӧзьӧрысь бать-мамлы (оланпаса петкӧдлысьяслы) компенсация сетӧм вылӧ субвенцияяс</t>
    </r>
    <r>
      <rPr>
        <sz val="10"/>
        <color indexed="8"/>
        <rFont val="Times New Roman"/>
        <family val="1"/>
      </rPr>
      <t xml:space="preserve"> </t>
    </r>
  </si>
  <si>
    <t xml:space="preserve">Коми Республикаса йӧзӧс велӧдан министерство </t>
  </si>
  <si>
    <t>1.01.21. «Аскотырӧ быдтӧм вылӧ кагаӧс сетігӧн канму отсӧг йылысь» Коми Республикаса Оланпас збыльмӧдӧм</t>
  </si>
  <si>
    <r>
      <t>Б</t>
    </r>
    <r>
      <rPr>
        <sz val="10"/>
        <color indexed="8"/>
        <rFont val="Times New Roman"/>
        <family val="1"/>
      </rPr>
      <t xml:space="preserve">ать-мамтӧм челядьӧс да бать-мам дӧзьӧртӧг кольӧм челядьӧс социальнӧя дорйӧм кыпӧдӧм </t>
    </r>
  </si>
  <si>
    <t>Пикӧ воӧм бать-мамтӧм да бать-мам дӧзьӧртӧм челядь лыд содӧм</t>
  </si>
  <si>
    <r>
      <t>1.01.22. «Б</t>
    </r>
    <r>
      <rPr>
        <sz val="10"/>
        <rFont val="Times New Roman"/>
        <family val="1"/>
      </rPr>
      <t>ать-мамтӧм челядьлы да бать-мам дӧзьӧртӧг кольӧм челядьлы, а сідзжӧ бать-мамтӧм да бать-мам дӧзьӧртӧг кольӧм челядь лыдысь йӧзлы велӧдӧмын содтӧд социальнӧй гарантияяс йылысь</t>
    </r>
    <r>
      <rPr>
        <sz val="10"/>
        <color indexed="8"/>
        <rFont val="Times New Roman"/>
        <family val="1"/>
      </rPr>
      <t>»</t>
    </r>
    <r>
      <rPr>
        <sz val="10"/>
        <rFont val="Times New Roman"/>
        <family val="1"/>
      </rPr>
      <t xml:space="preserve"> </t>
    </r>
    <r>
      <rPr>
        <sz val="10"/>
        <color indexed="8"/>
        <rFont val="Times New Roman"/>
        <family val="1"/>
      </rPr>
      <t xml:space="preserve">Коми Республикаса Оланпас збыльмӧдӧм </t>
    </r>
  </si>
  <si>
    <r>
      <t xml:space="preserve">Бать-мамтӧм челядьӧс да бать-мам дӧзьӧртӧг кольӧм челядьӧс социальнӧя </t>
    </r>
    <r>
      <rPr>
        <sz val="10"/>
        <color indexed="8"/>
        <rFont val="Times New Roman"/>
        <family val="1"/>
      </rPr>
      <t>дорйӧм</t>
    </r>
    <r>
      <rPr>
        <sz val="10"/>
        <rFont val="Times New Roman"/>
        <family val="1"/>
      </rPr>
      <t xml:space="preserve"> кыпӧдӧм </t>
    </r>
  </si>
  <si>
    <t>Пикӧ воӧм бать-мамтӧм да бать-мам дӧзьӧртӧг кольӧм челядь лыд содӧм</t>
  </si>
  <si>
    <t xml:space="preserve">1.01.23.  «Бать-мамтӧм челядьлы да бать-мам дӧзьӧртӧг кольӧм челядьлы, а сідзжӧ бать-мамтӧм да бать-мам дӧзьӧртӧг кольӧм челядь лыдысь йӧзлы ӧткымын содтӧд социальнӧй гарантия йылысь» Коми Республикаса Оланпас збыльмӧдӧм </t>
  </si>
  <si>
    <t>1.01.24. Бать-мам дӧзьӧрысь мырддьӧм челядьӧс аскотырӧ быд сикас иналӧм дырйи ӧтпырся пособие мынтӧм</t>
  </si>
  <si>
    <t>Пикӧ воӧм бать-мамтӧм челядь да бать-мам дӧзьӧртӧг кольӧм челядь лыд содӧм</t>
  </si>
  <si>
    <t xml:space="preserve">1.01.25. Уджтас олӧмӧ пӧртігӧн «Коми Республика мутасын ӧтйӧза пӧрадок видзӧмын гражданалӧн участвуйтӧм йылысь» Коми Республикаса Оланпас збыльмӧдӧм </t>
  </si>
  <si>
    <t xml:space="preserve">1.01.26. Уджтас олӧмӧ пӧртігӧн «Социалистическӧй Уджвывса Геройяслы да Удж Слава ордена кавалеръяслы социальнӧй гарантияяс сетӧм йылысь» Федеральнӧй оланпас збыльмӧдӧм </t>
  </si>
  <si>
    <r>
      <t xml:space="preserve">1.01.27. </t>
    </r>
    <r>
      <rPr>
        <sz val="10"/>
        <rFont val="Times New Roman"/>
        <family val="1"/>
      </rPr>
      <t xml:space="preserve">Общеобразовательнӧй организацияясын велöдчысьяслӧн да быдтасъяслӧн, улыс тшупöда уджсикасö велöдан, шöр тшупöда уджсикасö велöдан да вылыс тшупöда уджсикасö велöдан организацияясын очнöя велöдчысьяслӧн карбердса öтувъя вöдитчан кöрт туй транспортöн ветлӧм вылӧ тарифъяс серти кокньӧдъяс сувтӧдігӧн </t>
    </r>
    <r>
      <rPr>
        <sz val="10"/>
        <color indexed="8"/>
        <rFont val="Times New Roman"/>
        <family val="1"/>
      </rPr>
      <t>чӧжӧсын артмӧм воштӧмъясын к</t>
    </r>
    <r>
      <rPr>
        <sz val="10"/>
        <color indexed="8"/>
        <rFont val="Times New Roman"/>
        <family val="1"/>
      </rPr>
      <t>ӧрт туй транспорт организацияяслы</t>
    </r>
    <r>
      <rPr>
        <sz val="10"/>
        <color indexed="8"/>
        <rFont val="Times New Roman"/>
        <family val="1"/>
      </rPr>
      <t xml:space="preserve"> мыйтакӧ мынтысьӧм </t>
    </r>
  </si>
  <si>
    <t xml:space="preserve">Торъя категорияа гражданалӧн, кодъяслӧн эм социальнӧй отсӧг сетӧм вылӧ гарантируйтӧм инӧд, олан тшупӧд чинӧм </t>
  </si>
  <si>
    <t xml:space="preserve">   Йӧзӧс социальнӧя доръян юкӧнын канму социальнӧй обязательствояс збыльмӧдӧм кузя нюжӧдӧм кредит уджйӧз ыджда</t>
  </si>
  <si>
    <t xml:space="preserve">1.01.28. Уджтас олӧмӧ пӧртігӧн «Лыйсян ӧружье, боеприпасъяс, взрывайтан веществояс да взрывайтанторъяс ас кӧсйӧм серти сетӧмысь сьӧм компенсация йылысь» Коми Республикаса Оланпас збыльмӧдӧм </t>
  </si>
  <si>
    <t xml:space="preserve">Ӧтйӧза пӧрадок да ӧтйӧза видзанног чинӧм </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</si>
  <si>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йӧзӧс социальнӧя доръян юкӧнын канму социальнӧй обязательствояс збыльмӧдӧм кузя нюжӧдӧм кредит уджйӧз ыджда</t>
  </si>
  <si>
    <t xml:space="preserve">1.01.29. Йӧзлы, кодъясӧс оз ков сооциальнӧя быть страхуйтны уджавны недыр вермытӧмлун дырйи да мамлункӧд йитӧдын, да йӧзлы, кодъясӧс вештісны организация тупкӧмкӧд (удж, торъя мортӧн уджмогъяс дугӧдӧмкӧд) йитӧдын, канмусянь сьӧма отсӧг сетӧм </t>
  </si>
  <si>
    <t>2014 во</t>
  </si>
  <si>
    <t xml:space="preserve">2 мог. Боевӧй тышса ветеранъяслы да вермытӧмъяслы, батьтӧм-мамтӧм челядь да бать-мам дӧзьӧртӧг кольӧм челядь лыдысь гражданалы найӧс оланінӧн могмӧдӧмын отсӧг сетӧм </t>
  </si>
  <si>
    <t xml:space="preserve">1.02.01. «Коми Республикаын меставывса асвеськӧдлан органъяслы торъя категорияа гражданаӧс оланінӧн могмӧдӧмын социальнӧя отсалан мераяс кузя канму уджмогъяс сетӧм» Коми Республикаса Оланпас збыльмӧдӧм </t>
  </si>
  <si>
    <t xml:space="preserve">Йӧзӧс социальнӧя доръян юкӧнын примитӧм канму социальнӧй обязательствояс могмӧдӧм тшӧт весьтӧ торъя категорияа гражданалысь олӧм бурмӧдӧм </t>
  </si>
  <si>
    <t xml:space="preserve">   Тышвывса ветеранъяслӧн да вермытӧмъяслӧн юкӧн, кодъяс босьтісны олан жыръяс ньӧбӧм вылӧ сьӧмӧн ӧтпырся мынтысьӧм, тайӧ категорияа гражданалӧн ӧтувъя лыдысь, кодъяслӧн эм мынтысьӧм босьтӧм вылӧ инӧд да кодъяс мунан воын шыӧдчисны мынтысьӧмла</t>
  </si>
  <si>
    <r>
      <t>1.02.02. Бать-мамтӧм челядьӧс да бать-мам дӧзьӧртӧг кольӧм челядьӧс, бать-мамтӧм да бать-мам дӧзьӧртӧг кольӧм челядь лыдысь йӧзӧс специализируйтӧм олан жыръяс медалӧм йылысь сёрнитчӧмъяс серти с</t>
    </r>
    <r>
      <rPr>
        <sz val="10"/>
        <rFont val="Times New Roman"/>
        <family val="1"/>
      </rPr>
      <t>пециализируйтӧм муниципальнӧй оланін фондысь олан жыръясӧн могмӧдӧм вылӧ “Б</t>
    </r>
    <r>
      <rPr>
        <sz val="10"/>
        <color indexed="8"/>
        <rFont val="Times New Roman"/>
        <family val="1"/>
      </rPr>
      <t>ать-мамтӧм челядьӧс да бать-мам дӧзьӧртӧг кольӧм челядьӧс, бать-мамтӧм да бать-мам дӧзьӧртӧг кольӧм челядь лыдысь йӧзӧс олан жыръясӧн могмӧдӧм</t>
    </r>
    <r>
      <rPr>
        <sz val="10"/>
        <rFont val="Times New Roman"/>
        <family val="1"/>
      </rPr>
      <t xml:space="preserve"> кузя канму уджмогъяс Коми Республикаын меставывса асвеськӧдлан органъяслы сетӧм йылысь» Коми Республикаса Оланпас збыльмӧдӧм </t>
    </r>
  </si>
  <si>
    <t xml:space="preserve">Бать-мамтӧм челядь да бать-мам дӧзьӧртӧг кольӧм челядь лыдысь гражданалы сетӧм могысь да сэтшӧмъяслысь лыдсӧ чинтӧм могысь, кодъясӧс пыртӧма муниципальнӧй оланін фондса олан жыръясӧн могмӧдны колана списокӧ, олан жыръяс стрӧитӧм, ньӧбӧм, выльмӧдӧм, дзоньталӧм кузя мероприятиеяс меставывса асвеськӧдлан органъясӧн збыльмӧдӧм   </t>
  </si>
  <si>
    <t xml:space="preserve">Бать-мамтӧм челядьлӧн да бать-мам дӧзьӧртӧг кольӧм челядьлӧн, а сідзжӧ индӧм категория лыдысь йӧзлӧн, кодъяслӧн эм олан жыръясӧн найӧс могмӧдӧм вылӧ инӧд, олан тшупӧд чинӧм </t>
  </si>
  <si>
    <t>Бать-мамтӧм челядьлӧн да бать-мам дӧзьӧртӧг кольӧм челядьлӧн, бать-мамтӧм челядь да бать-мам дӧзьӧртӧг кольӧм челядь лыдысь йӧзлӧн лыд, кодъясӧс могмӧдӧма специализируйтӧм олан жыръяс медалӧм йылысь сёрнитчӧмъяс серти специализируйтӧм оланін фондысь олан жыръясӧн;                                                                   Бать-мамтӧм челядьлӧн да бать-мам дӧзьӧртӧг кольӧм челядьлӧн, бать-мамтӧм челядь да бать-мам дӧзьӧртӧг кольӧм челядь лыдысь йӧзлӧн лыд, кодъяслӧн сьӧма во заводитчӧм вылӧ эм инӧд олан жыръясӧн могмӧдӧм вылӧ да тайӧ инӧдсӧ ас кадӧ найӧ абу збыльмӧдӧмаӧсь ; Бать-мамтӧм челядьлӧн, бать-мам дӧзьӧртӧг кольӧм челядьлӧн да бать-мамтӧм челядь да бать-мам дӧзьӧртӧг кольӧм челядь лыдысь йӧзлӧн юкӧн, кодъяс сулалісны олан жыр босьтӧм вылӧ учётын, на пӧвстӧ 23 арӧса да ыджыдджык арлыдаясӧс пыртӧмӧн, кодъясӧс отчётнӧй воын могмӧдісны олан жыръясӧн, бать-мамтӧм челядьлӧн, бать-мам дӧзьӧртӧг кольӧм челядьлӧн да на лыдӧ пырысь йӧзлӧн ӧтувъя лыдын, кодъяс сулалӧны олан жыр босьтӧм вылӧ учётын, 23 да ыджыдджык арлыдсянь йӧзӧс пыртӧмӧн</t>
  </si>
  <si>
    <t>1.02.03. Бать-мамтӧм челядьӧс да бать-мам дӧзьӧртӧг кольӧм челядьӧс, бать-мамтӧм да бать-мам дӧзьӧртӧг кольӧм челядь лыдысь йӧзӧс социальнӧя медалӧм йылысь сёрнитчӧмъяс серти муниципальнӧй оланін фондысь олан жыръясӧн могмӧдӧм</t>
  </si>
  <si>
    <t>Меставывса асвеськӧдлан органъяслы ёрд шуӧмъяс, кутшӧмъяс тшӧктӧны быть сетны бать-мамтӧм челядьлы социальнӧя медалӧм йылысь сёрнитчӧмъяс серти олан жыръяс, збыльмӧдӧм</t>
  </si>
  <si>
    <t xml:space="preserve">Тайӧ категорияа гражданалӧн, кодъяслӧн эм олан жыръясӧн могмӧдӧм вылӧ инӧд, олан тшупӧд чинӧм  </t>
  </si>
  <si>
    <t xml:space="preserve">   Бать-мамтӧм челядьлӧн да бать-мам дӧзьӧртӧг кольӧм челядьлӧн, бать-мамтӧм челядь да бать-мам дӧзьӧртӧг кольӧм челядь лыдысь йӧзлӧн лыд, кодъясӧс могмӧдӧма олан жыръясӧн социальнӧя медалӧм йылысь сёрнитчӧмъяс серти, сы лыдын ёрдлӧн помшуӧмъяс серти;
    Бать-мамтӧм челядьлӧн да бать-мам дӧзьӧртӧг кольӧм челядьлӧн, бать-мамтӧм челядь да бать-мам дӧзьӧртӧг кольӧм челядь лыдысь йӧзлӧн лыд, кодъяслӧн сьӧма во заводитчӧм вылӧ эм инӧд олан жыръясӧн могмӧдӧм вылӧ да тайӧ инӧдсӧ ас кадӧ найӧ абу збыльмӧдӧмаӧсь ;
    Бать-мамтӧм челядьлӧн, бать-мам дӧзьӧртӧг кольӧм челядьлӧн да бать-мамтӧм челядь да бать-мам дӧзьӧртӧг кольӧм челядь лыдысь йӧзлӧн юкӧн, кодъяс сулалісны олан жыр босьтӧм вылӧ учётын, на пӧвстӧ 23 арӧса да ыджыдджык арлыдаясӧс пыртӧмӧн, кодъясӧс отчётнӧй воын могмӧдісны олан жыръясӧн, бать-мамтӧм челядьлӧн, бать-мам дӧзьӧртӧг кольӧм челядьлӧн да на лыдӧ пырысь йӧзлӧн ӧтувъя лыдын, кодъяс сулалӧны олан жыр босьтӧм вылӧ учётын, 23 да ыджыдджык арлыдсянь йӧзӧс пыртӧмӧн</t>
  </si>
  <si>
    <r>
      <t>1.02.04. Б</t>
    </r>
    <r>
      <rPr>
        <sz val="10"/>
        <color indexed="8"/>
        <rFont val="Times New Roman"/>
        <family val="1"/>
      </rPr>
      <t>ать-мамтӧм челядьӧс да бать-мам дӧзьӧртӧг кольӧм челядьӧс, бать-мамтӧм да бать-мам дӧзьӧртӧг кольӧм челядь лыдысь йӧзӧс Коми Республикаса канму оланін фондысь олан жыръясӧн могмӧдӧм</t>
    </r>
  </si>
  <si>
    <t>Коми Республикаса йӧзлы отсӧг сетан агентстволы став ёрд шуӧмсӧ, кутшӧмъяс тшӧктӧны быть сетны бать-мамтӧм челядьлы олан жыръяс, збыльмӧдӧм</t>
  </si>
  <si>
    <t xml:space="preserve">   Бать-мамтӧм челядьлӧн да бать-мам дӧзьӧртӧг кольӧм челядьлӧн, бать-мамтӧм челядь да бать-мам дӧзьӧртӧг кольӧм челядь лыдысь йӧзлӧн лыд, кодъясӧс могмӧдӧма олан жыръясӧн социальнӧя медалӧм йылысь сёрнитчӧмъяс серти, сы лыдын ёрдлӧн помшуӧмъяс серти;
    Бать-мамтӧм челядьлӧн да бать-мам дӧзьӧртӧг кольӧм челядьлӧн, бать-мамтӧм челядь да бать-мам дӧзьӧртӧг кольӧм челядь лыдысь йӧзлӧн лыд, кодъяслӧн сьӧма во заводитчӧм вылӧ эм инӧд олан жыръясӧн могмӧдӧм вылӧ да тайӧ инӧдсӧ ас кадӧ найӧ абу збыльмӧдӧмаӧсь ;
   Бать-мамтӧм челядьлӧн, бать-мам дӧзьӧртӧг кольӧм челядьлӧн да бать-мамтӧм челядь да бать-мам дӧзьӧртӧг кольӧм челядь лыдысь йӧзлӧн юкӧн, кодъяс сулалісны олан жыр босьтӧм вылӧ учётын, на пӧвстӧ 23 арӧса да ыджыдджык арлыдаясӧс пыртӧмӧн, кодъясӧс отчётнӧй воын могмӧдісны олан жыръясӧн, бать-мамтӧм челядьлӧн, бать-мам дӧзьӧртӧг кольӧм челядьлӧн да на лыдӧ пырысь йӧзлӧн ӧтувъя лыдын, кодъяс сулалӧны олан жыр босьтӧм вылӧ учётын, 23 да ыджыдджык арлыдсянь йӧзӧс пыртӧмӧн</t>
  </si>
  <si>
    <t xml:space="preserve">1.02.05. «1941 — 1945 воясӧ Айму вӧсна Ыджыд тышса ветеранъясӧс оланінӧн могмӧдӧм йылысь» Россия Федерацияса Президентлӧн 2008 во ода-кора тӧлысь 7 лунся 714 №-а Индӧд серти торъя категорияа гражданаӧс, кутшӧмъясӧс индӧма «Ветеранъяс йылысь» 1995 во тӧвшӧр тӧлысь 12 лунся 5-ФЗ  №-а Федеральнӧй оланпасӧн, оланінӧн могмӧдӧм </t>
  </si>
  <si>
    <t xml:space="preserve">Федеральнӧй оланпастэчас серти торъя категорияя гражданалы социальнӧй отсӧг тырвыйӧ да урчитӧм кадӧ сетӧм гарантируйтӧм </t>
  </si>
  <si>
    <t>Торъя категорияа гражданалӧн, кодъяслӧн эм гарантриуйтӧм инӧд социальнӧй отсӧг сетӧм вылӧ, олан тшупӧд чинӧм</t>
  </si>
  <si>
    <t xml:space="preserve">   Гражданалӧн торъя категория юкӧн, кодъяслы сетісны социальнӧй отсӧг, гражданалӧн ӧтувъя лыд дорӧ, кодъяс шыӧдчисны да налӧн эм инӧд босьтны тайӧ отсӧгсӧ                                                                                                           </t>
  </si>
  <si>
    <t xml:space="preserve">3 мог. Гражданалысь чӧжӧс урчитӧмӧн канму социальнӧй кывкутӧмъяслысь стӧчлун бурмӧдӧм </t>
  </si>
  <si>
    <t xml:space="preserve">1.03.01. «Коми Республикаын канму социальнӧй отсӧг сетӧм йылысь» Коми Республикаса Оланпас збыльмӧдӧм </t>
  </si>
  <si>
    <t xml:space="preserve">Гӧля олысь аскотыръяслысь да гӧля олысь ӧтка гражданалысь олӧм бурмӧдӧм, уджавтӧм пенсионеръяслысь чӧжӧс овны судсяна сьӧм тшупӧдӧдз вайӧдӧм  </t>
  </si>
  <si>
    <t xml:space="preserve">Пикӧ воӧм граждана лыд содӧм; пенсионер лыд содӧм, кодъяслӧн чӧжӧсыс улынджык Коми Республикаын индӧм овны судзсяна сьӧм тшупӧдысь </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</si>
  <si>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гражданалысь чӧжӧс урчитӧмӧн сетан канму услугаяс вылӧ рӧскод юкӧн, рӧскодлӧн ӧтувъя ыдждаын, кутшӧмъясӧс урчитӧма йӧзӧс социальнӧя дорйӧмын канму социальнӧй обязательствояс збыльмӧдӧм вылӧ </t>
  </si>
  <si>
    <r>
      <t xml:space="preserve">1.03.02. «Канму общеобразовательнӧй организацияясын, уджсикасӧ велӧдан канму организацияясын, кодъяс лоӧны Коми Республикаса веськӧдлӧм улын, муниципальнӧй общеобразовательнӧй организацияясын, а сідзжӧ </t>
    </r>
    <r>
      <rPr>
        <sz val="10"/>
        <color indexed="8"/>
        <rFont val="Times New Roman"/>
        <family val="1"/>
      </rPr>
      <t xml:space="preserve">уджсикасӧ велӧдан канму организацияясын, кутшӧмъяс велӧдӧны </t>
    </r>
    <r>
      <rPr>
        <sz val="10"/>
        <rFont val="Times New Roman"/>
        <family val="1"/>
      </rPr>
      <t>канмусянь аккредитуйтӧм медшӧр велӧдан уджтасъяс серти,  урчитӧм пӧрадок серти гӧля олысьясӧн лыддьӧм аскотыръясысь велӧдчысьясӧс, кодъяс велӧдчӧны Коми Республикаса республиканскӧй сьӧмкуд тшӧт весьтӧ, вердӧм йылысь да Коми Республикаса ӧткымын оланпас пыртан актӧ вежсьӧмъяс пыртӧм йылысь» Коми Республикаса Оланпас збыльмӧдӧм</t>
    </r>
  </si>
  <si>
    <t>Гӧля олысь челядя аскотыръяслысь олӧм бурмӧдӧм</t>
  </si>
  <si>
    <t xml:space="preserve"> Пикӧ воӧм аскотыръяслӧн содӧм </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</si>
  <si>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гражданалысь чӧжӧс урчитӧмӧн сетан канму услугаяс вылӧ рӧскод юкӧн, рӧскодлӧн ӧтувъя ыдждаын, кутшӧмъясӧс урчитӧма йӧзӧс социальнӧя дорйӧмын канму социальнӧй обязательствояс збыльмӧдӧм вылӧ </t>
  </si>
  <si>
    <t xml:space="preserve">1.03.03. «Коми Республикаын челядя аскотыръяслы канму гарантияяс йылысь» Коми Республикаса Оланпас збыльмӧдӧм </t>
  </si>
  <si>
    <t xml:space="preserve">Челядя аскотыръяслысь, кодъяслӧн ичӧт чӧжӧс, олӧм бурмӧдӧм </t>
  </si>
  <si>
    <t xml:space="preserve">Челядя аскотыръяслӧн олан тшупӧд чинӧм </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</si>
  <si>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гражданалысь чӧжӧс урчитӧмӧн сетан канму услугаяс вылӧ рӧскод юкӧн, рӧскодлӧн ӧтувъя ыдждаын, кутшӧмъясӧс урчитӧма йӧзӧс социальнӧя дорйӧмын канму социальнӧй обязательствояс збыльмӧдӧм вылӧ </t>
  </si>
  <si>
    <t>1.03.04. Олан жыр да коммунальнӧй услугаяс вештӧм вылӧ гражданалы субсидияяс сетӧм</t>
  </si>
  <si>
    <t xml:space="preserve"> Олан жыр да коммунальнӧй услугаяс вештӧм вылӧ  субсидияяс тшӧт весьтӧ республикаса олысьяслысь олӧм бурмӧдӧм </t>
  </si>
  <si>
    <t xml:space="preserve">Республикаса олысьяслӧн олан тшупӧд чинӧм </t>
  </si>
  <si>
    <t xml:space="preserve">  Аскотыръяслӧн, кодъяс босьтӧны олан жырйысь да коммунальнӧй услугаясысь мынтысьӧм вылӧ субсидияяс, юкӧн Коми Республикаса аскотыръяслӧн ӧтувъя лыдын;
   гражданалысь чӧжӧс урчитӧмӧн сетан канму услугаяс вылӧ рӧскод юкӧн, рӧскодлӧн ӧтувъя ыдждаын, кутшӧмъясӧс урчитӧма йӧзӧс социальнӧя дорйӧмын канму социальнӧй обязательствояс збыльмӧдӧм вылӧ </t>
  </si>
  <si>
    <t>39.</t>
  </si>
  <si>
    <t>1.03.05. Пенсия дорӧ дінмуса содтӧд мынтӧм</t>
  </si>
  <si>
    <t>Ичӧт чӧжӧса гражданалысь олӧм бурмӧдӧм</t>
  </si>
  <si>
    <t>Гӧля олысь гражданалӧн олан тшупӧд чинӧм</t>
  </si>
  <si>
    <t>40.</t>
  </si>
  <si>
    <t xml:space="preserve">1.03.06. «Коми Республикаын дон босьттӧг юридическӧй отсӧгӧн гражданаӧс могмӧдӧмын юалӧмъяс йылысь» Коми Республикаса Оланпас збыльмӧдӧм </t>
  </si>
  <si>
    <t xml:space="preserve">Федеральнӧй да республикаса оланпсатэчас серти торъя категорияа гражданалы социальнӧй отсӧг тырвыйӧ да урчитӧм кадӧ сетӧм гарантируйтӧм </t>
  </si>
  <si>
    <t>Торъя категорияа гражданалӧн, кодъяслӧм эм социальнӧй отсӧг сетан мераясын гарантируйтӧм инӧд, олан тшупӧд чинӧм</t>
  </si>
  <si>
    <t>41.</t>
  </si>
  <si>
    <t>1.03.07. Уджавтӧм пенсионеръяслы, кодъяс босьтӧны пӧрысьлун вӧсна да уджавны вермытӧмлун вӧсна удж пенсия, стӧч социальнӧй отсӧг сетан юкӧнын Коми Республикаса социальнӧй уджтас збыльмӧдӧм</t>
  </si>
  <si>
    <t>Торъя категорияа гражданалӧн олан тшупӧд чинӧм</t>
  </si>
  <si>
    <t>42.</t>
  </si>
  <si>
    <t xml:space="preserve">1.03.08. Сьӧмӧн быдтӧлысся мынтысьӧм, кутшӧмӧс индӧны коймӧд кага либӧ водзӧ лоысь кагаяс чужӧмсянь кагалы куим арӧс тыртӧдз </t>
  </si>
  <si>
    <t>Челядя аскотыръяслӧн олан тшупӧд чинӧм</t>
  </si>
  <si>
    <t xml:space="preserve">   Торъя категорияа гражданалӧн юкӧн, кодъяслы сетісны социальнӧй отсӧг, гражданалӧн ӧтувъя лыд дорӧ, кодъяс шыӧдчисны да налӧн эм инӧд босьтны тайӧ отсӧгсӧ; 
   гражданалысь чӧжӧс урчитӧмӧн сетан канму услугаяс вылӧ рӧскод юкӧн, рӧскодлӧн ӧтувъя ыдждаын, кутшӧмъясӧс урчитӧма йӧзӧс социальнӧя дорйӧмын канму социальнӧй обязательствояс збыльмӧдӧм вылӧ </t>
  </si>
  <si>
    <t>43.</t>
  </si>
  <si>
    <t xml:space="preserve">1.04.01. Йӧзӧс социальнӧя доръян юкӧнын канму услугаяс котыртӧм да электроннӧя сетӧм </t>
  </si>
  <si>
    <t xml:space="preserve">Йӧзӧс социальнӧя доръян юкӧнын электроннӧя сетан услуга бӧртасъяс босьтны позянлун могмӧдӧм тшӧт весьтӧ бур качествоа услугаяслысь сибаланлун кыпӧдӧм </t>
  </si>
  <si>
    <t xml:space="preserve">Йӧзӧс социальнӧя доръян юкӧнын канму социальнӧй обязательствояс збыльмӧдан качество чинӧм </t>
  </si>
  <si>
    <t xml:space="preserve">     Йӧзӧс социальнӧя доръян юкӧнын электроннӧя сетан канму услугаяслӧн юкӧн, йӧзӧс социальнӧя доръян юкӧнын услугаяс электроннӧя сетӧм вылӧ юӧр системаяслӧн техническӧй позянлунъяс серти электроннӧя сетан канму услугаяслӧн ӧтувъя лыдысь</t>
  </si>
  <si>
    <t>44.</t>
  </si>
  <si>
    <t xml:space="preserve">1.04.02. Йӧзӧс социальнӧя дорйӧмын канму услугаяс сетігӧн ведомствояс костын ӧтувъя удж котыртӧм </t>
  </si>
  <si>
    <t xml:space="preserve">Йӧзӧс социальнӧя доръян юкӧнын олӧмӧ пӧртысь власьт органъяслӧн, меставывса асвеськӧдлан органъяслӧн да организацияяслӧн ведомствокостса ӧтувъя удж котыртӧм тшӧт весьтӧ бур качествоа услугаяслысь сибаланлун кыпӧдӧм  </t>
  </si>
  <si>
    <t xml:space="preserve">   Йӧзӧс социальнӧя доръян юкӧнса учреждениеясын, кутшӧмъясӧс пыртӧма ведомствокостса ӧтувъя электроннӧй удж системаӧ да канму услугаяс порталӧ, автоматизируйтӧм уджалан инъяслӧн юкӧн, йӧзӧс социальнӧя доръян юкӧнса учреждениеясын уджалан инъяс автоматизируйтны колана лыдысь </t>
  </si>
  <si>
    <t>45.</t>
  </si>
  <si>
    <t xml:space="preserve">1.04.03. Йӧзӧс социальнӧя доръян учреждениеясын волысьяслӧн ӧчередьӧн электроннӧя веськӧдлан системаяс отсӧгӧн клиентъяскӧд удж котыртӧм </t>
  </si>
  <si>
    <t>Йӧзӧс социальнӧя доръян юкӧнын волысьясӧс могмӧдан кад чинтӧм тшӧт весьтӧ канму социальнӧй обязательствояс збыльмӧдан качество кыпӧдӧм</t>
  </si>
  <si>
    <t xml:space="preserve">Йӧзӧс социальнӧя доръян юкӧнын канму социальнӧй обязательствояс абу тырвыйӧ збыльмӧдӧм </t>
  </si>
  <si>
    <t xml:space="preserve">    Йӧзӧс социальнӧя доръян юкӧнын учреждениеяслӧн юкӧн, кутшӧмъяс нуӧдӧны клиентъяскӧд удж волысьяслӧн ӧчередьӧн электроннӧя веськӧдлан система отсӧгӧн,  йӧзӧс социальнӧя доръян юкӧнын учреждение лыдысь, кӧні колана электроннӧй системаӧн вӧдитчӧм</t>
  </si>
  <si>
    <t>46.</t>
  </si>
  <si>
    <t>1.04.04. Йӧзӧс социальнӧя доръян юкӧнса учреждениеясын коланлунъяс ас вылӧ могмӧдан юӧр терминалъяс сувтӧдӧм да юӧр системаясӧ найӧс пыртӧм</t>
  </si>
  <si>
    <t xml:space="preserve">Гражданалы аслыныс йӧзӧс социальнӧя доръян юкӧнын сетан услугаяс йылысь колана юӧр босьтны позянлун тшӧт весьтӧ йӧзӧс социальнӧя доръян юкӧнын канму социальнӧй обязательствояс збыльмӧдан качество кыпӧдӧм </t>
  </si>
  <si>
    <t>Йӧзӧс социальнӧя доръян юкӧнса учреждениеясын коланлунъяс ас вылӧ могмӧдан юӧр терминалъяслӧн юкӧн, кутшӧмъясӧс пыртӧма юӧр системаясӧ, терминалъяслӧн ӧтувъя лыдысь, кутшӧмъясӧс сувтӧдӧма учреждениеясын йӧзӧс социальнӧя доръян юкӧнын</t>
  </si>
  <si>
    <r>
      <t>2 уджтасув.</t>
    </r>
    <r>
      <rPr>
        <b/>
        <sz val="12"/>
        <color indexed="8"/>
        <rFont val="Times New Roman"/>
        <family val="1"/>
      </rPr>
      <t xml:space="preserve"> </t>
    </r>
    <r>
      <rPr>
        <b/>
        <sz val="10"/>
        <color indexed="8"/>
        <rFont val="Times New Roman"/>
        <family val="1"/>
      </rPr>
      <t>Йӧзӧс социальнӧя могмӧдан система</t>
    </r>
  </si>
  <si>
    <t>47.</t>
  </si>
  <si>
    <t xml:space="preserve">2.01.01. Канму коланлун вылӧ йӧзӧс социальнӧя могмӧдан учреждениеяс стрӧитӧм да выльмӧдӧм </t>
  </si>
  <si>
    <t>Коми Республикаса архитектура, стрӧитчӧм да коммунальнӧй овмӧс министерство</t>
  </si>
  <si>
    <t>Пӧрысьяслы да вермытӧмъяслы стационар учреждениеяслӧн йӧзлы судзсянлун кыпӧдӧм. Пӧрысьяслы да вермытӧмъяслы стационар учреждениеясӧ ӧчередь чинӧм</t>
  </si>
  <si>
    <t xml:space="preserve">Пӧрысьяслы да вермытӧмъяслы стационар учреждениеяслӧн йӧзлы судзсянлун да олан качество чинӧм </t>
  </si>
  <si>
    <t xml:space="preserve">   Граждана юкӧн, кодъяслы сетісны социальнӧй услугаяс йӧзӧс социальнӧя могмӧдан стационар учреждениеясын, социальнӧя могмӧдан стационар учреждениеясӧ социальнӧй услугаясла шыӧдчӧм гражданалӧн ӧтувъя лыдын;
   пӧрысьяслы да вермытӧмъяслы социальнӧя могмӧдан стационар учреждениеяслӧн йӧзлы судзсянлун;
   пӧрысьяслы да вермытӧмъяслы керка-интернатъясӧ ӧчередь, во заводитчӧм вылӧ пӧрысьяслы да вермытӧмъяслы керка-интернатъясӧ ӧчередь;</t>
  </si>
  <si>
    <t xml:space="preserve">«Емва карын пӧрысьяслы да вермытӧмъяслы керка-интернатлӧн сёяніна-узьлан корпус» объектлӧн техническӧй дасьлун тшупӧд;                                        «Сыктывкарын Тенюковса пӧрысьяслы да вермытӧмъяслы республиканскӧй керка-интернат 90 места вылӧ ыдждӧдӧм» объектлӧн техническӧй дасьлун тшупӧд;                                                                              «Ухта карын Ухтаса республиканскӧй психоневрологическӧй интернат 50 места вылӧ ыдждӧдӧм» объектлӧн техническӧй дасьлун тшупӧд;                                       «Сыктыв районса Куниб сиктын Кунибса психоневрологическӧй интернат 70 места вылӧ ыдждӧдӧм» объектлӧн техническӧй дасьлун тшупӧд </t>
  </si>
  <si>
    <t>48.</t>
  </si>
  <si>
    <t xml:space="preserve">2.01.02. Вермытӧмъяслы да этша вешъялан йӧз группаяслы социальнӧй объектъяс дінӧ сибаланлун могмӧдӧм </t>
  </si>
  <si>
    <t xml:space="preserve">Вермытӧмъяслы да этша вешъялан йӧз группаяслы учреждениеяслысь да услугаяслысь сибаланлун кыпӧдӧм, бур олӧм лӧсьӧдӧм </t>
  </si>
  <si>
    <t>Вермытӧмъяслы да этша вешъялан йӧз группаяслы учреждениеяслӧн да услугаяслӧн сибаланлун, олӧм качество чинӧм</t>
  </si>
  <si>
    <t xml:space="preserve">  Йӧзӧс социальнӧя дорйӧмын медтӧдчана объектъяслӧн юкӧн, кутшӧмъяс вылӧ лӧсьӧдӧма сибаланлун паспортъяс, йӧзӧс социальнӧя дорйӧмын тӧдчана объектъяслӧн ӧтувъя лыдын;
   вермытӧмъяслы да этша вешъялан йӧз группаяслы сибалана йӧзӧс социальнӧя могмӧдан канму учреждениеяслӧн юкӧн, йӧзӧс социальнӧя могмӧдан учреждениеяслӧн ӧтувъя лыдын                                                                                                                                                                                                                                               </t>
  </si>
  <si>
    <t>49.</t>
  </si>
  <si>
    <t>2.01.03. Аскотыръясӧс да челядьӧс социальнӧя могмӧдан учреждениеясын гражданаӧс ылісянь (заочнӧя) консультируйтан система лӧсьӧдӧм</t>
  </si>
  <si>
    <t>Йӧзӧс социальнӧя могмӧдан учреждениеяслысь да йӧзлы услугаяслысь сибаланлун кыпӧдӧм</t>
  </si>
  <si>
    <t>Йӧзӧс социальнӧя могмӧдан учреждениеяслӧн да йӧзлы услугаяслӧн сибаланлун чинӧм</t>
  </si>
  <si>
    <t>50.</t>
  </si>
  <si>
    <t xml:space="preserve">2.02.01. Йӧзӧс социальнӧя доръян юкӧнын Коми Республикаса канму учреждениеяслысь материально-техническӧй подув бурмӧдӧм </t>
  </si>
  <si>
    <t xml:space="preserve">Учреждениеяслысь сибаланлун, йӧзӧс социальнӧя могмӧдан учреждениеяслӧн материально-техническӧй подув дінӧ техническӧй тшӧктӧмъясӧ кутчысьӧм да ӧтвывтӧм видзчысянлун могмӧдӧм  </t>
  </si>
  <si>
    <t xml:space="preserve">Услугаяслӧн сибаланлун, найӧс сетӧмын ӧтвывтӧм видзчысянлун да качество чинӧм </t>
  </si>
  <si>
    <t xml:space="preserve"> Учреждениеяслӧн юкӧн, кутшӧмъяслы ньӧблӧма оборудованиесӧ, йӧзӧс социальнӧя могмӧдан учреждениеяслӧн ӧтувъя лыдын;
 жыръяслӧн, кӧні мунісны дзоньталан уджъяс,  ыдждаысь юкӧн, учреждениеясӧн займитан зданиеяслӧн ӧтувъя ыдждаысь ;
    йӧзӧс социальнӧя могмӧдан учреждениеясса (йӧзлӧн вогӧгӧрся олӧмӧн) пу зданиеяслӧн юкӧн,  йӧзӧс социальнӧя могмӧдан учреждениеясса (йӧзлӧн вогӧгӧрся олӧмӧн) зданиеяслӧн ӧтувъя лыдын                                                                                                                                                                                                                                          </t>
  </si>
  <si>
    <t>51.</t>
  </si>
  <si>
    <t xml:space="preserve">2.02.02. Йӧзӧс социальнӧя могмӧдан стационар учреждениеяс капитальнӧя дзоньталӧм </t>
  </si>
  <si>
    <t>Йӧзӧс социальнӧя могмӧдан учреждениеяслысь материально-техническӧй подув бурмӧдӧм тшӧт весьтӧ социальнӧй услугаяслысь качество да сибаланлун кыпӧдӧм</t>
  </si>
  <si>
    <t xml:space="preserve">Олӧма гражданалы да вермытӧмъяслы социальнӧй услугаяслӧн качество да сибаланлун чинӧм </t>
  </si>
  <si>
    <t>Социальнӧя могмӧдан стационар учреждениеясын граждана юкӧн, кодъяслы бурмӧдісны олан условиеяс, олысьяслӧн ӧтувъя лыдысь (быд во)</t>
  </si>
  <si>
    <t>52.</t>
  </si>
  <si>
    <t xml:space="preserve">2.03.01. Йӧзӧс социальнӧя доръян юкӧнын Коми Республикаса канму учреждениеясӧн канму услугаяс сетӧм (уджъяс вӧчӧм) </t>
  </si>
  <si>
    <t>Йӧзӧс социальнӧя могмӧдан канму стандартъяс подув вылын социальнӧй услугаяс сетӧм</t>
  </si>
  <si>
    <t xml:space="preserve">Йӧзӧс социальнӧя могмӧдан канму стандартъяс подув вылын сетан социальнӧй услугаяслӧн качество чинӧм </t>
  </si>
  <si>
    <t xml:space="preserve">   Йӧзӧс социальнӧй услугаясӧн могмӧдан тшупӧд, йӧзлӧн ӧтувъя лыдын, кодъяслы колӧны татшӧм услугаясыс; 
   Коми Республикаын канму учреждениеясса социальнӧй уджалысьяслысь шӧр удждонсӧ Коми Республикаын шӧр удждонкӧд ӧткодялӧм</t>
  </si>
  <si>
    <t>53.</t>
  </si>
  <si>
    <t xml:space="preserve">2.03.02. Йӧзӧс социальнӧя могмӧдан учреждениеясын мынтысьӧмӧн услугаяяс система сӧвмӧдӧм </t>
  </si>
  <si>
    <t xml:space="preserve">Социальнӧй услугаяслысь качество да сибаланлун кыпӧдӧм </t>
  </si>
  <si>
    <t xml:space="preserve">Социальнӧй услугаяслӧн качество да сибаланлун чинӧм </t>
  </si>
  <si>
    <t xml:space="preserve">  Йӧзӧс социальнӧй услугаясӧн могмӧдан тшупӧд, йӧзлӧн ӧтувъя лыдын, кодъяслы колӧны татшӧм услугаясыс;
   Коми Республикаын канму учреждениеясса социальнӧй уджалысьяслысь шӧр удждонсӧ Коми Республикаын шӧр удждонкӧд ӧткодялӧм</t>
  </si>
  <si>
    <t>54.</t>
  </si>
  <si>
    <t xml:space="preserve">2.03.03. Аскотыръясӧс да челядьӧс социальнӧя могмӧдан учреждениеяслысь тыр арлыдтӧмъясӧс дӧзьӧртӧмлунысь да горттӧг кольӧмысь видзан удж котыртӧм </t>
  </si>
  <si>
    <t>Тыр арлыдтӧмъясӧс дӧзьӧртӧмлунысь да горттӧг кольӧмысь видзан удж</t>
  </si>
  <si>
    <t xml:space="preserve">Дӧзьӧртӧг да горттӧг кольӧм челядь лыд содӧм </t>
  </si>
  <si>
    <t>55.</t>
  </si>
  <si>
    <t xml:space="preserve">2.03.04. Йӧзӧс социальнӧя доръян юкӧнын учреждениеяслысь тыр арлыдтӧмъясӧс дӧзьӧр вылӧ социальнӧй услугаяс сетан организацияясӧ  мӧдӧдан удж бурмӧдӧм </t>
  </si>
  <si>
    <t>Тыр арлыдтӧм челядьлысь, кодъясӧс колӧ инавны аскотырӧ, инӧдъяс дорйӧм</t>
  </si>
  <si>
    <t xml:space="preserve">Тыр арлыдтӧм челядьлысь инӧдъяс торкалӧм да бать-мамтӧм челядьлӧн да бать-мам дӧзьӧртӧг кольӧм челядьлӧн, кодъясӧс сетӧмаӧсь быдтыны аскотыръясӧ, лыд чинӧм </t>
  </si>
  <si>
    <t>Бать-мамтӧм челядьлӧн да бать-мам дӧзьӧртӧг кольӧм челядьлӧн, кодъясӧс сетӧмаӧсь быдтыны аскотыръясӧ, юкӧн, бать-мамтӧм челядьлӧн да бать-мам дӧзьӧртӧг кольӧм челядьлӧн ӧтувъя лыдын</t>
  </si>
  <si>
    <t>56.</t>
  </si>
  <si>
    <r>
      <t xml:space="preserve">2.03.05. Россия Федерацияса субъектъяс костын, а сідзжӧ СНГ пырысь канмуяслӧн мутасын тыр арлыдтӧмъясӧс, кодъяс юасьтӧг мунісны аскотыръясысь, челядь керкаясысь, школа-интернатъясысь, торъя быдтан-велӧдан да мукӧд челядь учреждениеысь, </t>
    </r>
    <r>
      <rPr>
        <sz val="10"/>
        <color indexed="8"/>
        <rFont val="Times New Roman"/>
        <family val="1"/>
      </rPr>
      <t xml:space="preserve">мӧдлаӧ нуӧмкӧд йитчӧм удж нуӧдӧм </t>
    </r>
  </si>
  <si>
    <t>57.</t>
  </si>
  <si>
    <t xml:space="preserve">2.03.06. Коми Республикалӧн канму учреждениеясса социальнӧй уджалысьяслӧн уджысь мынтысян тшупӧд кыпӧдӧм могмӧдӧм </t>
  </si>
  <si>
    <t>Коми Республикаса экономика сӧвмӧдан министерство,         Коми Республикаса йӧзлы отсӧг сетан агентство, 
Коми Республикаса йӧзлысь дзоньвидзалун видзан министерство</t>
  </si>
  <si>
    <t>2018 во</t>
  </si>
  <si>
    <t xml:space="preserve">Коми Республикаса канму учреждениеясын социальнӧй уджалысьяслысь шӧр удждон кыпӧдӧм </t>
  </si>
  <si>
    <t>Коми Республикаын канму учреждениеясса социальнӧй уджалысьяслысь шӧр удждонсӧ Коми Республикаын шӧр удждонкӧд ӧткодялӧм</t>
  </si>
  <si>
    <t xml:space="preserve">4 мог. Социальнӧй услугаяс сетӧмын технологияяс да бур окталуна уджтасъяс лӧсьӧдӧм да пыртӧм </t>
  </si>
  <si>
    <t>58.</t>
  </si>
  <si>
    <t xml:space="preserve">2.04.01. Челядя аскотыр институтъяс вынсьӧдӧм вылӧ, аскотырын лёк оласногысь видзан мераяс вылӧ, бать-мамтӧм да бать-мам дӧзьӧртӧг кольӧм челядьӧс аскотырӧ иналан формаяс сӧвмӧдӧм вылӧ мӧдӧдӧм балаяс да уджтасъяс збыльмӧдӧм </t>
  </si>
  <si>
    <t xml:space="preserve">Челядя аскотыръяслы канму услугаяслысь качество да найӧс социальнӧй боксянь видзӧм кыпӧдӧм  </t>
  </si>
  <si>
    <t>Челядя аскотыръяслы канму услугаяслӧн качество чинӧм</t>
  </si>
  <si>
    <t xml:space="preserve">   Пикӧ воӧм аскотыръяскӧд да челядькӧд социальнӧй уджын бур бӧртаса балаяслӧн лыд, кутшӧмъясӧс лӧсьӧдісны да быд во збыльмӧдӧны йӧзӧс социальнӧя могмӧдан учреждениеясын;
    бать-мам дӧзьӧртӧг кольӧм челядьлӧн, кодъяс олӧны став сикас канму (муниципальнӧй) учреждениеын, юкӧн — ставнас, сы лыдын кодъясӧс сетісны эз рӧдвужлы (приёмнӧй аскотыръясӧ, пи пыдди (ныв пыдди) босьтӧм вылӧ, тӧралӧм (тӧждысьӧм) вылӧ), иналісны мӧд сикас аскотырӧ (аскотыра челядьлы керкаясӧ, патронатнӧй аскотыръясӧ)                                                                                                                                 </t>
  </si>
  <si>
    <t>59.</t>
  </si>
  <si>
    <t xml:space="preserve">2.04.02. Гражданаӧс, кодъяс кӧсйӧны лоны тыр арлыдтӧмъясӧс тӧралысьясӧн (тӧждысьысьясӧн), дасьтан технологияяс збыльмӧдӧм </t>
  </si>
  <si>
    <t>Коми Республикаса йӧзлы отсӧг сетан агентство, Коми Республикаса йӧзӧс велӧдан министерство</t>
  </si>
  <si>
    <t xml:space="preserve"> Граждана лыд содӧм, кодъяс кӧсйӧны быдтыны асланыс котыръясын бать-мамтӧм челядьӧс да бать-мам дӧзьӧртӧг кольӧм челядьӧс </t>
  </si>
  <si>
    <t xml:space="preserve">Вежысь аскотыръясын, кутшӧмъяс серти примитӧны тӧралӧм (тӧждысьӧм) дугӧдӧм йылысь помшуӧмъяс, быдмысь челядьлӧн лыд содӧм </t>
  </si>
  <si>
    <t>60.</t>
  </si>
  <si>
    <t xml:space="preserve">2.04.03. «Коми Республика мутасын олӧма граждана да вермытӧмъяс бӧрся дӧзьӧркӧд да отсӧгкӧд йитчӧм ӧткымын юалӧм йылысь» Коми Республикаса Оланпас збыльмӧдӧм </t>
  </si>
  <si>
    <t xml:space="preserve">Олӧма гражданалы да вермытӧмъяслы гортын дӧзьӧрын да отсӧгын коланлун могмӧдӧм </t>
  </si>
  <si>
    <t xml:space="preserve">Олӧма гражданалы да вермытӧмъяслы гортын дӧзьӧрын да отсӧгын коланлун могмӧдӧм чинӧм, гортын социальнӧя могмӧдӧм вылӧ ӧчередьлӧн эмлун </t>
  </si>
  <si>
    <t xml:space="preserve">   Граждана юкӧн, кодъясӧс социальнӧя могмӧдӧны гортын, ӧтувъя лыдысь, кодъяслы колӧ татшӧм могмӧдӧм</t>
  </si>
  <si>
    <t>61.</t>
  </si>
  <si>
    <t xml:space="preserve">2.04.04. Мобильнӧй бригадаяслысь сикт гӧгӧрладор ылысса олан пунктъясын олӧма гражданаӧс социальнӧя да медицина боксянь могмӧдан удж котыртӧм вылӧ автотранспорт ньӧбӧм </t>
  </si>
  <si>
    <t>2015 во</t>
  </si>
  <si>
    <t xml:space="preserve">Йӧзӧс социальнӧя могмӧдан учреждениеяслысь материально-техническӧй подув бурмӧдӧм тшӧт весьтӧ услугаяс сетан качество бурмӧдӧм </t>
  </si>
  <si>
    <t>Олӧма гражданалы услугаяс сетан качество чинӧм</t>
  </si>
  <si>
    <t xml:space="preserve">5 мог. Йӧзӧс социальнӧя доръян юкӧнын услугаяс рынокса участникъясӧс содтӧм </t>
  </si>
  <si>
    <t>62.</t>
  </si>
  <si>
    <t xml:space="preserve">2.05.01. Йӧзлы социальнӧя отсӧг сетан да доръян юкӧнын социальнӧй туйвизя абу коммерческӧй организацияяслы канму отсӧг сетӧм </t>
  </si>
  <si>
    <t>Ӧтйӧза организацияяслӧн уджын отсӧг сетӧм</t>
  </si>
  <si>
    <t xml:space="preserve">Ӧтйӧза организацияяскӧд ӧтувъя удж чинӧм </t>
  </si>
  <si>
    <t>63.</t>
  </si>
  <si>
    <t xml:space="preserve">2.05.02. Коми Республикаса йӧзӧс социальнӧя могмӧдан юкӧнын канмуа-ас уджъёртасьӧм сӧвмӧдӧм </t>
  </si>
  <si>
    <t xml:space="preserve">Йӧзӧс социальнӧя могмӧдан учреждениеяслысь инфраструктура паськӧдӧм. социальнӧй услугаяс босьтӧмӧ сибаланлун ыдждӧдӧм, йӧзлы налӧн олӧмын тӧдчана сьӧкыдлунъяс венӧм вылӧ позянлунъяс сетӧм </t>
  </si>
  <si>
    <t>Услугаясӧн, кутшӧмӧс сетӧ йӧзӧс социальнӧя могмӧдан юкӧнын уна сикас участник, йӧзӧс могмӧдӧм чинӧм</t>
  </si>
  <si>
    <t>3 уджтасув. Канму уджтас збыльмӧдӧм могмӧдӧм</t>
  </si>
  <si>
    <t>64.</t>
  </si>
  <si>
    <t>3.01.01. Коми Республикаса канму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индӧд да веськӧдлӧм (шӧр аппарат)</t>
  </si>
  <si>
    <t xml:space="preserve">Уджтасса могъяс збыльмӧдӧм могмӧдӧм да Уджтасӧн да уджтасувъясӧн урчитӧм лыдпасъяс (петкӧдласъяс) шедӧдӧм.                                  Йӧзӧс социальнӧя могмӧдан юкӧнын веськӧдлан качество кыпӧдӧм </t>
  </si>
  <si>
    <t xml:space="preserve">Уджтаслӧн урчитӧм бӧртасъяс да могъяс абу тырвыйӧ шедӧдӧм </t>
  </si>
  <si>
    <t xml:space="preserve">   Уджтасса да уджтасувъясса лыдпасъяс быдвося шедӧдан тшупӧд </t>
  </si>
  <si>
    <t>65.</t>
  </si>
  <si>
    <t>3.01.02. Коми Республикаса канму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индӧд да веськӧдлӧм (мутас органъяс)</t>
  </si>
  <si>
    <t>66.</t>
  </si>
  <si>
    <t xml:space="preserve">3.01.03. Социальнӧй политикаын котыртӧм да юӧр боксянь урчитӧм уджмогъяс могмӧдӧм </t>
  </si>
  <si>
    <t xml:space="preserve">Торъя категорияа гражданалӧн йӧзкотыр олӧмын участвуйтӧм кыпӧдӧм, Коми Республикаса гражданалысь социальнӧй боксянь видзӧм бурмӧдӧм </t>
  </si>
  <si>
    <t>67.</t>
  </si>
  <si>
    <t xml:space="preserve">3.01.04. Торъя категорияя гражданаӧс оланінӧн могмӧдӧмын Коми Республикалысь сетӧм канму уджмогъяс збыльмӧдӧм </t>
  </si>
  <si>
    <t>68.</t>
  </si>
  <si>
    <t xml:space="preserve">3.01.05. Уджтас ӧтув збыльмӧдысьясӧн мероприятиеяс олӧмӧ пӧртӧм бӧрся видзӧдӧм </t>
  </si>
  <si>
    <t>69.</t>
  </si>
  <si>
    <t xml:space="preserve">3.02.01. Йӧзӧс социальнӧя доръян юкӧнын мутас органъяскӧд да канму учреждениеяскӧд ӧтувъя удж </t>
  </si>
  <si>
    <t>70.</t>
  </si>
  <si>
    <t xml:space="preserve">3.02.02. Йӧзӧс социальнӧя доръян юкӧнын мутас органъясӧн да канму учреждениеясӧн Уджтасса мероприятиеяс збыльмӧдӧм бӧрся видзӧдӧм </t>
  </si>
  <si>
    <t xml:space="preserve">3 таблица </t>
  </si>
  <si>
    <t xml:space="preserve">                  «Йӧзӧс социальнӧя дорйӧм» Коми Республикаса канму уджтас збыльмӧдан юкӧнын канмусянь ладмӧдан мераяс примитӧм донъялӧм                                                                                                                                        </t>
  </si>
  <si>
    <t>Мера ним</t>
  </si>
  <si>
    <t>Мераӧн вӧдитчан петкӧдлас</t>
  </si>
  <si>
    <t>Бӧртас сьӧм серти донъялӧм      (сюрс шайт), вояс</t>
  </si>
  <si>
    <t xml:space="preserve">  Канму уджтаслысь шӧр мог шедӧдӧм вылӧ            примитӧмын коланлун           дженьыда подулалӧм </t>
  </si>
  <si>
    <t>«Йӧзӧс социальнӧя могмӧдан система» 2 уджтасув</t>
  </si>
  <si>
    <t>Учреждениеяслӧн эмбур вылӧ вот  серти вот кокньӧдъяс (“Коми Республика мутасын вот кокньӧдъяс йылысь да вот кокньӧдъяс йылысь ӧткымын оланпастэчас актӧ вежсьӧмъяс пыртӧм йылысь” Коми Республикаса 2005 во вӧльгым тӧлысь 10 лунся 113-РЗ №-а Оланпаслӧн 6 статья)</t>
  </si>
  <si>
    <t xml:space="preserve">Коми Республикаса сьӧмкуд учреждениеяслӧн, кутшӧмъясӧс артмӧдӧма Коми Республикаса канму эмбурӧ пырысь эмбур подув вылын, сэтшӧм эмбур юкӧнын, кутшӧмӧс крепитӧма на сайын учредительясӧн либӧ ньӧбӧма учредительясӧн тайӧ могъяс вылӧ сетӧм сьӧм тшӧт весьтӧ, эмбур вылӧ вот серти вот кокньӧдъяслӧн ыджда </t>
  </si>
  <si>
    <t xml:space="preserve">Учреждениеяслӧн сьӧмкуд вылӧ вот сьӧкта чинтӧм </t>
  </si>
  <si>
    <r>
      <t xml:space="preserve">Транспорт вот серти вот кокньӧдъяс (“Коми Республика мутасын вот кокньӧдъяс йылысь да вот кокньӧдъяс йылысь ӧткымын </t>
    </r>
    <r>
      <rPr>
        <sz val="11"/>
        <color indexed="8"/>
        <rFont val="Times New Roman"/>
        <family val="1"/>
      </rPr>
      <t>оланпастэчас актӧ вежсьӧмъяс пыртӧм йылысь” Коми Республикаса 2005 во вӧльгым тӧлысь 10 лунся 113-РЗ №-а Оланпаслӧн 8 статья)</t>
    </r>
  </si>
  <si>
    <t xml:space="preserve">Коми Республикаса сьӧмкуд учреждениеяслы, кутшӧмъясӧс артмӧдӧма Коми Республикаса канму эмбурӧ пырысь эмбур подув вылын, -  транспорт средствояс серти,  кутшӧмъясӧс кутӧны Коми Республикаса республиканскӧй сьӧмкуд сьӧм тшӧт весьтӧ, транспорт вылӧ вот кузя вот кокньӧдъяслӧн ыджда </t>
  </si>
  <si>
    <t>4 таблица</t>
  </si>
  <si>
    <t xml:space="preserve">«Йӧзӧс социальнӧя дорйӧм» Коми Республикаса канму уджтас збыльмӧдан юкӧнын инӧд ладмӧдан медшӧр мераяс йылысь юӧр  </t>
  </si>
  <si>
    <t>Нормативнӧй инӧда акт ним</t>
  </si>
  <si>
    <t>Нормативнӧй инӧда актлӧн медшӧр положениеяс</t>
  </si>
  <si>
    <t>Кывкутысь збыльмӧдысь да ӧтув збыльмӧдысьяс</t>
  </si>
  <si>
    <t>Виччысяна примитан кад</t>
  </si>
  <si>
    <t>1 уджтасув. Йӧзӧс социальнӧя доръян юкӧнын канмусянь социальнӧй обязательствояс</t>
  </si>
  <si>
    <t>«Коми Республикаын олысьяслы социальнӧй отсӧг йылысь» Коми Республикаса 2004 во вӧльгым тӧлысь 12 лунся 55-РЗ №-а Оланпас</t>
  </si>
  <si>
    <t>Вежсьӧмъяс пыртӧм</t>
  </si>
  <si>
    <t>Коми Республикаса йӧзлы социальнӧй отсӧг сетан агентство</t>
  </si>
  <si>
    <t>2013-2020 вояс</t>
  </si>
  <si>
    <t xml:space="preserve">«Коми Республикаын олысьяслы социальнӧй отсӧг йылысь» Коми Республикаса Оланпас збыльмӧдан мераяс йылысь» Коми Республикаса Веськӧдлан котырлӧн 2004 во ӧшым тӧлысь 31 лунся 280 №-а шуӧм </t>
  </si>
  <si>
    <t xml:space="preserve">Вежсьӧмъяс пыртӧм </t>
  </si>
  <si>
    <t xml:space="preserve"> «Аскотырö быдтöм вылö кагаöс сетiгöн канму отсöг йылысь» Коми Республикаса 2008 во вӧльгым тӧлысь 24 лунся 139-РЗ №-а Оланпас</t>
  </si>
  <si>
    <t>«Коми Республикаын канму социальнӧй отсӧг сетӧм йылысь» Коми Республикаса 2004 во вӧльгым тӧлысь 12 лунся 56-РЗ №-а Оланпас</t>
  </si>
  <si>
    <t xml:space="preserve">«Коми Республикаын канму социальнӧй отсӧг сетӧм йылысь» Коми Республикаса  Оланпас збыльмӧдан мераяс йылысь» Коми Республикаса Веськӧдлан котырлӧн 2004 во ӧшым тӧлысь 31 лунся 281 №-а шуӧм </t>
  </si>
  <si>
    <t xml:space="preserve">«Коми Республикаын гарантируйтӧм быд морт вылӧ сьӧма чӧжӧслӧн мында вынсьӧдӧм йылысь» Коми Республикаса Веськӧдлан котырлӧн шуӧм </t>
  </si>
  <si>
    <t>Коми Республикаын гарантируйтӧм быд морт вылӧ сьӧма чӧжӧслӧн мында вынсьӧдӧм</t>
  </si>
  <si>
    <t>Быд кварталын  2013-2020 вояс</t>
  </si>
  <si>
    <t xml:space="preserve">«Коми Республикаын челядя аскотыръяслы канму гарантияяс йылысь» Коми Республикаса 2004 во вӧльгым тӧлысь 12 лунся 57-РЗ №-а Оланпас </t>
  </si>
  <si>
    <t xml:space="preserve">«Коми Республикаын челядя аскотыръяслы канму гарантияяс йылысь» Коми Республикаса Оланпас збыльмӧдан мераяс йылысь» Коми Республикаса Веськӧдлан котырлӧн 2004 во ӧшым тӧлысь 31 лунся 282 №-а шуӧм </t>
  </si>
  <si>
    <r>
      <t>2 уджтасув.</t>
    </r>
    <r>
      <rPr>
        <b/>
        <sz val="12"/>
        <color indexed="8"/>
        <rFont val="Times New Roman"/>
        <family val="1"/>
      </rPr>
      <t xml:space="preserve"> Йӧзӧс социальнӧя могмӧдан система</t>
    </r>
  </si>
  <si>
    <t>«2011-2015 вояс вылӧ «Ӧткодь позянлун» Коми Республикаса уджтас вынсьӧдӧм йылысь» Коми Республикаса Веськӧдлан котырлӧн 2011 во вӧльгым тӧлысь 21 лунся 521 №-а шуӧм</t>
  </si>
  <si>
    <t>2013-2015 вояс</t>
  </si>
  <si>
    <t>«2016-2020 вояс вылӧ «Ӧткодь позянлун» Коми Республикаса уджтас вынсьӧдӧм йылысь» Коми Республикаса Веськӧдлан котырлӧн шуӧм</t>
  </si>
  <si>
    <t>Уджтас лӧсьӧдӧм да вынсьӧдӧм, вежсьӧмъяс пыртӧм</t>
  </si>
  <si>
    <t>2015 во,
2016-2020 вояс</t>
  </si>
  <si>
    <t>«Коми Республикаын олысьясӧс социальнӧя могмӧдӧм йылысь» Коми Республикаса 2004 во ӧшым тӧлысь 31 лунся 84-РЗ №-а Оланпас</t>
  </si>
  <si>
    <t xml:space="preserve">«Коми Республикаын социальнӧя могмӧдӧм йылысь» Коми Республикаса Оланпас збыльмӧдан мераяс йылысь» Коми Республикаса Веськӧдлан котырлӧн 2011 во йирым тӧлысь 12 лунся 458 №- шуӧм </t>
  </si>
  <si>
    <t xml:space="preserve">«Республикаса гарантируйтӧм социальнӧй услугаяс лыддьӧг йылысь да содтӧд социальнӧй услугаяс йылысь, кутшӧмъясӧс сетӧны Коми Республикаса олысьяслы социальнӧй службаяс» Коми Республикаса Веськӧдлан котырлӧн 2005 во лӧддза-номъя тӧлысь 24 лунся 150 №-а шуӧм </t>
  </si>
  <si>
    <t xml:space="preserve">«Коми Республикаын олысьясӧс социальнӧя могмӧдӧмын канму стандартъяс йылысь» Коми Республикаса Веськӧдлан котырлӧн 2006 во кӧч тӧлысь 25 лунся 242 №-а шуӧм </t>
  </si>
  <si>
    <t xml:space="preserve">«Олӧма йӧз (2011 – 2013 вояс)» Коми Республикаса уджтас вынсьӧдӧм йылысь» Коми Республикаса Веськӧдлан котырлӧн 2011 во урасьӧм тӧлысь 28 лунся 34 №-а шуӧм </t>
  </si>
  <si>
    <t>Айму вӧсна Ыджыд тышса, боевӧй тышъясса ветеранъяслӧн, усьӧм (кувсьӧм) военнослужащӧйяслӧн аскотырӧ пырысьяслӧн, олӧма гражданалӧн да дзескӧдӧм позянлуна йӧзлӧн социальнӧй да экономика боксянь олӧм бурмӧдӧм кузя  уджалан план 2013-2014 вояс вылӧ вынсьӧдӧм йылысь Веськӧдлан котырлӧн тшӧктӧм</t>
  </si>
  <si>
    <t>2013-2014 вояс</t>
  </si>
  <si>
    <t xml:space="preserve">Айму вӧсна Ыджыд тышса, боевӧй тышъясса ветеранъяслӧн, усьӧм (кувсьӧм) военнослужащӧйяслӧн аскотырӧ пырысьяслӧн, олӧма гражданалӧн да дзескӧдӧм позянлуна йӧзлӧн социальнӧй да экономика боксянь олӧм бурмӧдӧм кузя  уджалан план 2015-2017 вояс вылӧ вынсьӧдӧм йылысь Веськӧдлан котырлӧн тшӧктӧм   </t>
  </si>
  <si>
    <t>Тшӧктӧм лӧсьӧдӧм да вынсьӧдӧм, вежсьӧмъяс пыртӧм</t>
  </si>
  <si>
    <t>2014во
2015-2017 вояс</t>
  </si>
  <si>
    <t xml:space="preserve">5 таблица </t>
  </si>
  <si>
    <t xml:space="preserve">«Йӧзӧс социальнӧя дорйӧм» Коми Республикаса канму уджтас серти Коми Республикаса канму учреждениеясӧн канму услугаяс сетӧм (уджъяс вӧчӧм) вылӧ канму тшӧктӧмъяслысь ӧтвывтӧм петкӧдласъяс прогнозируйтӧм </t>
  </si>
  <si>
    <t xml:space="preserve"> </t>
  </si>
  <si>
    <t>Уджтасув, услуга (удж), услуга ыджда петкӧдлас ним</t>
  </si>
  <si>
    <t>Мурталан единица</t>
  </si>
  <si>
    <t>Услуга ыджда петкӧдласлӧн вежӧртас</t>
  </si>
  <si>
    <t>Канму услуга сетӧм (удж вӧчӧм) вылӧ Коми Республикаса республиканскӧй сьӧмкуд сьӧм рӧскод, сюрс шайт</t>
  </si>
  <si>
    <r>
      <t>2 уджтасув.</t>
    </r>
    <r>
      <rPr>
        <b/>
        <sz val="10"/>
        <color indexed="8"/>
        <rFont val="Times New Roman"/>
        <family val="1"/>
      </rPr>
      <t xml:space="preserve"> Йӧзӧс социальнӧя могмӧдан система</t>
    </r>
  </si>
  <si>
    <t>Медшӧр мероприятие 2.03.01. Йӧзӧс социальнӧя доръян юкӧнын Коми Республикаса канму учреждениеясӧн канму услугаяс сетӧм (уджъяс вӧчӧм)</t>
  </si>
  <si>
    <t>Стационарын социальнӧя могмӧдӧм</t>
  </si>
  <si>
    <t>План серти койкаӧн-лун лыдпас шедӧдӧм</t>
  </si>
  <si>
    <t xml:space="preserve">койкаӧн-лун </t>
  </si>
  <si>
    <t>х</t>
  </si>
  <si>
    <t>Лун джынсӧ стационарын социальнӧя могмӧдӧм (вой кежлӧ волӧм вылӧ отделение условиеясын (сы лыдын социальнӧй гостиница)</t>
  </si>
  <si>
    <t>Лун джынсӧ стационарын социальнӧя могмӧдӧм ( лунын волӧм вылӧ отделение условиеясын)</t>
  </si>
  <si>
    <t>Могмӧдӧм граждана лыд</t>
  </si>
  <si>
    <t>Олӧма гражданаӧс да вермытӧмъясӧс гортын социальнӧя могмӧдӧм</t>
  </si>
  <si>
    <t>Могмӧдан граждана лыд</t>
  </si>
  <si>
    <t xml:space="preserve">Абу стационарын социальнӧя могмӧдӧм       </t>
  </si>
  <si>
    <t>Удж тырвыйӧ вӧчӧм</t>
  </si>
  <si>
    <t xml:space="preserve">Социальнӧя реабилитируйтан ӧтвывтӧм уджтасъяс, кутшӧмъясӧс урчитӧма тыр арлыдтӧмъясӧс пикӧ воӧмысь петкӧдӧм вылӧ,  збыльмӧдӧм </t>
  </si>
  <si>
    <t>Россия Федерацияса оланпастэчасӧн да Коми Республикаса оланпастэчасӧн индӧм социальнӧй мынтысьӧмъяс сьӧмӧн да натуральнӧй формаӧн нуӧдӧм</t>
  </si>
  <si>
    <t>Индӧм юкӧнын котыртан да методическӧй удж нуӧдӧм</t>
  </si>
  <si>
    <t>Йӧзлы регыдъя психологическӧй отсӧг сетӧм ("Эскан телепон")</t>
  </si>
  <si>
    <t>СТАВНАС  канму услуга сетӧм (удж вӧчӧм) вылӧ (эмбур кутӧм вылӧ рӧскод артавтӧг)</t>
  </si>
  <si>
    <t>Эмбур кутӧм вылӧ рӧскод</t>
  </si>
  <si>
    <t xml:space="preserve">СТАВНАС  канму услуга сетӧм (удж вӧчӧм) вылӧ </t>
  </si>
  <si>
    <t>6 таблица</t>
  </si>
  <si>
    <t>Коми Республикаса республиканскӧй сьӧмкуд сьӧм тшӧт весьтӧ (федеральнӧй сьӧмкуд сьӧм урчитӧмӧн) «Йӧзӧс социальнӧя дорйӧм» Коми Республикаса канму уджтас збыльмӧдӧм ресурсъясӧн могмӧдӧм</t>
  </si>
  <si>
    <t>Статус</t>
  </si>
  <si>
    <t xml:space="preserve">Канму уджтас, канму уджтаслӧн уджтасув, дыр кадся торъя мога уджтас (дыр кадся торъя мога уджтаслӧн уджтасув), ведомствоа торъя мога уджтас, медшӧр мероприятие ним </t>
  </si>
  <si>
    <t>Кывкутӧмӧн збыльмӧдысь, ӧтув збыльмӧдысьяс</t>
  </si>
  <si>
    <t>Рӧскод (сюрс шайт), вояс</t>
  </si>
  <si>
    <t>Коми Республикаса канму уджтас</t>
  </si>
  <si>
    <t>«Йӧзӧс социальнӧя дорйӧм»</t>
  </si>
  <si>
    <t>Ставнас</t>
  </si>
  <si>
    <t>Коми Республикаса йӧзлысь дзоньвидзалун видзан министерство</t>
  </si>
  <si>
    <t>Коми Республикаса йӧзӧс велӧдан министерство</t>
  </si>
  <si>
    <t xml:space="preserve">1 уджтасув. </t>
  </si>
  <si>
    <t>Йӧзӧс социальнӧя доръян юкӧнын канму социальнӧй обязательствояс</t>
  </si>
  <si>
    <t>Медшӧр мероприятие1.01.01.</t>
  </si>
  <si>
    <t>«Коми Республикаын йӧзлы отсӧг сетӧм йылысь» Коми Республикаса Оланпас збыльмӧдӧм</t>
  </si>
  <si>
    <t xml:space="preserve">Медшӧр мероприятие1.01.02. </t>
  </si>
  <si>
    <t>Торъя категорияа гражданалы оланін да коммунальнӧй услугаяс вештӧм</t>
  </si>
  <si>
    <t xml:space="preserve">Медшӧр мероприятие1.01.03. </t>
  </si>
  <si>
    <t xml:space="preserve"> Торъя категорияа гражданалы Коми Республика мутасын ӧтйӧза транспорт услугаяслысь ӧткодь сибаланлун могмӧдӧм </t>
  </si>
  <si>
    <t xml:space="preserve">Медшӧр мероприятие1.01.04. </t>
  </si>
  <si>
    <t>Пенсияяс дорӧ содтӧдъяс, пенсионнӧя содтӧд могмӧдӧм</t>
  </si>
  <si>
    <t xml:space="preserve">Медшӧр мероприятие1.01.05. </t>
  </si>
  <si>
    <t xml:space="preserve"> «Гуасьӧм йылысь» Федеральнӧй оланпас збыльмӧдӧм</t>
  </si>
  <si>
    <t xml:space="preserve">Медшӧр мероприятие1.01.06. </t>
  </si>
  <si>
    <t>«Торъя категорияа гражданалы Коми Республика водзын торъя заслугаясысь сьӧмӧн быд тӧлысся мынтысьӧм йылысь» Коми Республикаса Оланпас збыльмӧдӧм</t>
  </si>
  <si>
    <t xml:space="preserve">Медшӧр мероприятие1.01.07. </t>
  </si>
  <si>
    <t>«Коми Республика мутасын челядя аскотыръяслы социальнӧй отсӧг сетӧмын содтӧд мераяс йылысь» Коми Республикаса Оланпас збыльмӧдӧм</t>
  </si>
  <si>
    <t xml:space="preserve">Медшӧр мероприятие1.01.08. </t>
  </si>
  <si>
    <t>Уджтас олӧмӧ пӧртігӧн «Коми Республикаын кӧр видзӧм йылысь» Коми Республикаса Оланпас збыльмӧдӧм</t>
  </si>
  <si>
    <t xml:space="preserve">Медшӧр мероприятие1.01.09. </t>
  </si>
  <si>
    <t>«Сьӧм абутӧм вӧсна пикӧ воӧм гражданалы ӧтпырся сьӧма отсӧг кузя социальнӧй мынтысьӧмъяс йылысь» Коми Республикаса Оланпас збыльмӧдӧм</t>
  </si>
  <si>
    <t xml:space="preserve">Медшӧр мероприятие1.01.10. </t>
  </si>
  <si>
    <t>«Социальнöй тöдчанлуна висьöмъясöн да йöзлы öпаснöй висьöмъясöн висьысь гражданалы социальнöй отсöг сетан мераяс йылысь»  Коми Республикаса Оланпас збыльмӧдӧм</t>
  </si>
  <si>
    <t xml:space="preserve">Медшӧр мероприятие1.01.11. </t>
  </si>
  <si>
    <t>Уджтас олӧмӧ пӧртігӧн «Коми Республика мутасын юридическӧй отсӧг сетӧмын ӧткымын юалӧм йылысь» Коми Республикаса Оланпас збыльмӧдӧм</t>
  </si>
  <si>
    <t xml:space="preserve">Медшӧр мероприятие1.01.12. </t>
  </si>
  <si>
    <t xml:space="preserve">«1941 – 1945 воясся Айму вӧсна Ыджыд тышын Вермӧм лун  пасйӧмкӧд йитӧдын торъя категорияа гражданалы ӧтпырся сьӧмӧн мынтӧмӧн социальнӧй отсӧг йылысь» Коми Республикаса Веськӧдлан котырлысь шуӧм збыльмӧдӧм </t>
  </si>
  <si>
    <t xml:space="preserve">Медшӧр мероприятие1.01.13. </t>
  </si>
  <si>
    <t xml:space="preserve"> Ылі Войвыв районъясысь мунысь гражданалы, сы лыдын Ылі Войвыв районъяс социальнӧя тэчасалан пилотнӧй проектса участникъяслы транспорт рӧскод вештӧм</t>
  </si>
  <si>
    <t xml:space="preserve">Медшӧр мероприятие1.01.14. </t>
  </si>
  <si>
    <t>«Коми Республикаса Веськӧдлан котырлӧн премияяс йылысь» Коми Республикаса Веськӧдлан котырлӧн 2007 во вӧльгым тӧлысь 26 лунся 277 №-а шуӧм збыльмӧдӧм</t>
  </si>
  <si>
    <t xml:space="preserve">Медшӧр мероприятие1.01.15. </t>
  </si>
  <si>
    <t>Вакцинируйтӧм бӧрын висьмигӧн гражданалы канмусянь ӧтпырся пособие да сьӧмӧн быд тӧлысся компенсация мынтӧм</t>
  </si>
  <si>
    <t xml:space="preserve">Медшӧр мероприятие1.01.16. </t>
  </si>
  <si>
    <t xml:space="preserve">«Россияса почёта донор» морӧспасӧн наградитӧм йӧзлы сьӧмӧн быд вося мынтӧм кузя Россия Федерациялысь сетӧм уджмог збыльмӧдӧм </t>
  </si>
  <si>
    <t xml:space="preserve">Медшӧр мероприятие1.01.17. </t>
  </si>
  <si>
    <t>Транспорт средство кутысьяслӧн гражданскӧй кывкутӧм быть страхуйтӧм йылысь сёрнитчӧмъяс серти вермытӧмъяслы страхуйтан премияяс компенсацияӧн мынтысьӧмъяс</t>
  </si>
  <si>
    <t xml:space="preserve">Медшӧр мероприятие1.01.18. </t>
  </si>
  <si>
    <t xml:space="preserve">Призыв серти военнӧй служба нуысь военнӧйлӧн нӧбасьысь гӧтырлы ӧтпырся пособие, а сідзжӧ призыв серти служба нуысь военнӧйлӧн кага вылӧ быдтӧлысся пособие мынтӧм </t>
  </si>
  <si>
    <t xml:space="preserve">Медшӧр мероприятие1.01.19. </t>
  </si>
  <si>
    <r>
      <t xml:space="preserve">Уджтас олӧмӧ пӧртігӧн </t>
    </r>
    <r>
      <rPr>
        <sz val="10"/>
        <color indexed="8"/>
        <rFont val="Times New Roman"/>
        <family val="1"/>
      </rPr>
      <t xml:space="preserve">«Коми Республикаын ас вӧляысь пӧжарысь видзан юкӧнын йитӧдъяс ладмӧдӧм йылысь» Коми Республикаса Оланпас  збыльмӧдӧм </t>
    </r>
  </si>
  <si>
    <t xml:space="preserve">Медшӧр мероприятие1.01.20. </t>
  </si>
  <si>
    <t xml:space="preserve">Коми Республика мутасын велӧдан организацияясӧ, кутшӧмъяс збыльмӧдӧны школаӧдзса велӧдан уджтас, ветлӧдлысь челядьӧс видзӧмысь да на бӧрся дӧзьӧрысь бать-мамлы (оланпаса петкӧдлысьяслы) компенсация сетӧм вылӧ субвенцияяс </t>
  </si>
  <si>
    <t xml:space="preserve">Медшӧр мероприятие1.01.21. </t>
  </si>
  <si>
    <t>«Аскотырӧ быдтӧм вылӧ кагаӧс сетігӧн канму отсӧг йылысь» Коми Республикаса Оланпас збыльмӧдӧм</t>
  </si>
  <si>
    <t xml:space="preserve">Медшӧр мероприятие1.01.22. </t>
  </si>
  <si>
    <r>
      <t>«Б</t>
    </r>
    <r>
      <rPr>
        <sz val="10"/>
        <color indexed="8"/>
        <rFont val="Times New Roman"/>
        <family val="1"/>
      </rPr>
      <t>ать-мамтӧм челядьлы да бать-мам дӧзьӧртӧг кольӧм челядьлы, а сідзжӧ бать-мамтӧм да бать-мам дӧзьӧртӧг кольӧм челядь лыдысь йӧзлы велӧдӧмын содтӧд социальнӧй гарантияяс йылысь</t>
    </r>
    <r>
      <rPr>
        <sz val="10"/>
        <color indexed="8"/>
        <rFont val="Times New Roman"/>
        <family val="1"/>
      </rPr>
      <t>»</t>
    </r>
    <r>
      <rPr>
        <sz val="10"/>
        <color indexed="8"/>
        <rFont val="Times New Roman"/>
        <family val="1"/>
      </rPr>
      <t xml:space="preserve"> Коми Республикаса Оланпас збыльмӧдӧм </t>
    </r>
  </si>
  <si>
    <t xml:space="preserve">Медшӧр мероприятие1.01.23. </t>
  </si>
  <si>
    <t xml:space="preserve">«Бать-мамтӧм челядьлы да бать-мам дӧзьӧртӧг кольӧм челядьлы, а сідзжӧ бать-мамтӧм да бать-мам дӧзьӧртӧг кольӧм челядь лыдысь йӧзлы ӧткымын содтӧд социальнӧй гарантияяс йылысь» Коми Республикаса Оланпас збыльмӧдӧм </t>
  </si>
  <si>
    <t xml:space="preserve">Медшӧр мероприятие1.01.24. </t>
  </si>
  <si>
    <t>Бать-мам дӧзьӧрысь мырддьӧм челядьӧс аскотырӧ иналан быд сикас дырйи ӧтпырся пособие мынтӧм</t>
  </si>
  <si>
    <t xml:space="preserve">Медшӧр мероприятие1.01.25. </t>
  </si>
  <si>
    <t xml:space="preserve">Уджтас олӧмӧ пӧртігӧн «Коми Республика мутасын йӧзкостса пӧрадок видзӧмын гражданалӧн участвуйтӧм йылысь» Коми Республикаса Оланпас збыльмӧдӧм </t>
  </si>
  <si>
    <t xml:space="preserve">Медшӧр мероприятие1.01.26. </t>
  </si>
  <si>
    <t xml:space="preserve">Уджтас олӧмӧ пӧртігӧн «Социалистическӧй Уджвывса Геройяслы да Удж Слава ордена кавалеръяслы социальнӧй гарантияяс сетӧм йылысь» Федеральнӧй оланпас збыльмӧдӧм </t>
  </si>
  <si>
    <t xml:space="preserve">2 мог. Боевӧй тышъясса ветеранъяслы да вермытӧмъяслы, батьтӧм-мамтӧм челядь да бать-мам дӧзьӧртӧг кольӧм челядь лыдысь гражданалы найӧс олаінӧн могмӧдӧмын отсӧг сетӧм </t>
  </si>
  <si>
    <t xml:space="preserve">Медшӧр мероприятие1.02.01. </t>
  </si>
  <si>
    <t xml:space="preserve"> «Коми Республикаын меставывса асвеськӧдлан органъяслы торъя категорияяа гражданаӧс оланінӧн могмӧдӧмын социальнӧя отсалан мераяс кузя канму уджмогъяс сетӧм» Коми Республикаса Оланпас збыльмӧдӧм </t>
  </si>
  <si>
    <t xml:space="preserve">Медшӧр мероприятие1.02.02. </t>
  </si>
  <si>
    <r>
      <t>Бать-мамтӧм челядьӧс да бать-мам дӧзьӧртӧг кольӧм челядьӧс, бать-мамтӧм да бать-мам дӧзьӧртӧг кольӧм челядь лыдысь йӧзӧс специализируйтӧм олан жыръяс медалӧм йылысь сёрнитчӧмъяс серти с</t>
    </r>
    <r>
      <rPr>
        <sz val="10"/>
        <color indexed="8"/>
        <rFont val="Times New Roman"/>
        <family val="1"/>
      </rPr>
      <t xml:space="preserve">пециализируйтӧм муниципальнӧй оланін фондысь олан жыръясӧн могмӧдӧм вылӧ “Бать-мамтӧм челядьӧс да бать-мам дӧзьӧртӧг кольӧм челядьӧс, бать-мамтӧм да бать-мам дӧзьӧртӧг кольӧм челядь лыдысь йӧзӧс олан жыръясӧн могмӧдӧм кузя канму уджмогъяс Коми Республикаын меставывса асвеськӧдлан органъяслы сетӧм йылысь» Коми Республикаса Оланпас збыльмӧдӧм </t>
    </r>
  </si>
  <si>
    <t>Коми Республикаса йӧзлы отсӧг сетан агентство, сы лыдын федеральнӧй сьӧмкуд сьӧм тшӧт весьтӧ</t>
  </si>
  <si>
    <t xml:space="preserve">Медшӧр мероприятие1.02.03. </t>
  </si>
  <si>
    <t>Бать-мамтӧм челядьӧс да бать-мам дӧзьӧртӧг кольӧм челядьӧс, бать-мамтӧм да бать-мам дӧзьӧртӧг кольӧм челядь лыдысь йӧзӧс социальнӧя медалӧм йылысь сёрнитчӧмъяс серти канму оланін фондысь олан жыръясӧн могмӧдӧм</t>
  </si>
  <si>
    <t xml:space="preserve">Медшӧр мероприятие1.02.04. </t>
  </si>
  <si>
    <t xml:space="preserve">«1941 — 1945 воясӧ Айму вӧсна Ыджыд тышса ветеранъясӧс оланінӧн могмӧдӧм йылысь» Россия Федерацияса Президентлӧн 2008 во ода-кора тӧлысь 7 лунся 714 №-а Индӧд серти торъя категорияа гражданаӧс, кутшӧмъясӧс индӧма «Ветеранъяс йылысь» 1995 во тӧвшӧр тӧлысь 12 лунся 5-ФЗ  №-а Федеральнӧй оланпасӧн, оланінӧн могмӧдӧм </t>
  </si>
  <si>
    <t xml:space="preserve">3 мог. Гражданалысь чӧжӧс урчитӧмӧн канму социальнӧй обязательствояслысь стӧчлун бурмӧдӧм </t>
  </si>
  <si>
    <t xml:space="preserve">Медшӧр мероприятие1.03.01. </t>
  </si>
  <si>
    <t xml:space="preserve">«Коми Республикаын канму социальнӧй отсӧг сетӧм йылысь» Коми Республикаса Оланпас збыльмӧдӧм </t>
  </si>
  <si>
    <t xml:space="preserve">Медшӧр мероприятие1.03.02. </t>
  </si>
  <si>
    <r>
      <t xml:space="preserve">«Канму общеобразовательнӧй организацияясын, уджсикасӧ велӧдан канму организацияясын, кодъяс лоӧны Коми Республикаса веськӧдлӧм улын, муниципальнӧй общеобразовательнӧй организацияясын, а сідзжӧ </t>
    </r>
    <r>
      <rPr>
        <sz val="10"/>
        <color indexed="8"/>
        <rFont val="Times New Roman"/>
        <family val="1"/>
      </rPr>
      <t>уджсикасӧ велӧдан канму организацияясын, кутшӧмъяс велӧдӧны канмусянь аккредитуйтӧм медшӧр велӧдан уджтасъяс серти,  урчитӧм пӧрадок серти гӧля олысьясӧн лыддьӧм аскотыръясысь велӧдчысьясӧс, кодъяс велӧдчӧны Коми Республикаса республиканскӧй сьӧмкуд тшӧт весьтӧ, вердӧм йылысь да Коми Республикаса ӧткымын оланпас пыртан актӧ вежсьӧмъяс пыртӧм йылысь» Коми Республикаса Оланпас збыльмӧдӧм</t>
    </r>
  </si>
  <si>
    <t xml:space="preserve">Медшӧр мероприятие1.03.03. </t>
  </si>
  <si>
    <t xml:space="preserve">«Коми Республикаын челядя аскотыръяслы канму гарантияяс йылысь» Коми Республикаса Оланпас збыльмӧдӧм </t>
  </si>
  <si>
    <t>Медшӧр мероприятие1.03.04.</t>
  </si>
  <si>
    <t>Олан жыр да коммунальнӧй услугаяс вештӧм вылӧ гражданалы субсидияяс сетӧм</t>
  </si>
  <si>
    <t xml:space="preserve">Медшӧр мероприятие1.03.05. </t>
  </si>
  <si>
    <t>Пенсия дорӧ дінмуса содтӧд мынтӧм</t>
  </si>
  <si>
    <t>Медшӧр мероприятие1.03.06.</t>
  </si>
  <si>
    <t xml:space="preserve">«Коми Республикаын дон босьттӧг юридическӧй отсӧгӧн гражданаӧс могмӧдӧмын юалӧмъяс йылысь» Коми Республикаса Оланпас збыльмӧдӧм </t>
  </si>
  <si>
    <t>Медшӧр мероприятие1.03.07.</t>
  </si>
  <si>
    <t>Уджавтӧм пенсионеръяслы, кодъяс босьтӧны пӧрысьлун вӧсна да уджавны вермытӧмлун вӧсна удж пенсия, стӧч социальнӧй отсӧг сетан юкӧнын Коми Республикаса социальнӧй уджтас збыльмӧдӧм</t>
  </si>
  <si>
    <t>Медшӧр мероприятие1.04.01.</t>
  </si>
  <si>
    <t xml:space="preserve">Йӧзӧс социальнӧя доръян юкӧнын канму услугаяс котыртӧм да электроннӧя сетӧм </t>
  </si>
  <si>
    <t>Медшӧр мероприятие1.04.02.</t>
  </si>
  <si>
    <t xml:space="preserve">Йӧзӧс социальнӧя дорйӧмын канму услугаяс сетігӧн ведомствояс костын ӧтувъя удж котыртӧм </t>
  </si>
  <si>
    <t>Медшӧр мероприятие1.04.03.</t>
  </si>
  <si>
    <t xml:space="preserve">Йӧзӧс социальнӧя доръян учреждениеясын волысьяслӧн ӧчередьӧн электроннӧя веськӧдлан системаяс отсӧгӧн клиентъяскӧд удж котыртӧм </t>
  </si>
  <si>
    <t>Медшӧр мероприятие1.04.04.</t>
  </si>
  <si>
    <t>Йӧзӧс социальнӧя доръян юкӧнса учреждениеясын коланлунъяс ас вылӧ могмӧдан юӧр терминалъяс сувтӧдӧм да юӧр системаясӧ найӧс пыртӧм</t>
  </si>
  <si>
    <t>2 уджтасув.</t>
  </si>
  <si>
    <t>Йӧзӧс социальнӧя могмӧдан система</t>
  </si>
  <si>
    <t xml:space="preserve">Медшӧр мероприятие2.01.01. </t>
  </si>
  <si>
    <t xml:space="preserve">Канму коланлун вылӧ йӧзӧс социальнӧя могмӧдан учреждениеяс стрӧитӧм да выльмӧдӧм </t>
  </si>
  <si>
    <t xml:space="preserve">Медшӧр мероприятие2.01.02. </t>
  </si>
  <si>
    <t xml:space="preserve">Вермытӧмъяслы да йӧзлӧн мукӧд этша вешъялан группаяслы социальнӧй объектъяс дінӧ сибаланлун могмӧдӧм </t>
  </si>
  <si>
    <t xml:space="preserve">Медшӧр мероприятие2.01.03. </t>
  </si>
  <si>
    <t>Аскотыръясӧс да челядьӧс социальнӧя могмӧдан учреждениеясын гражданаӧс ылісянь (заочнӧя) консультируйтан система лӧсьӧдӧм</t>
  </si>
  <si>
    <t xml:space="preserve">Медшӧр мероприятие2.02.01. </t>
  </si>
  <si>
    <t xml:space="preserve">Йӧзӧс социальнӧя доръян юкӧнын Коми Республикаса канму учреждениеяслысь материально-техническӧй подув бурмӧдӧм </t>
  </si>
  <si>
    <t xml:space="preserve">Медшӧр мероприятие2.02.02. </t>
  </si>
  <si>
    <t xml:space="preserve">Йӧзӧс социальнӧя могмӧдан стационар учреждениеяс капитальнӧя дзоньталӧм </t>
  </si>
  <si>
    <t xml:space="preserve">Медшӧр мероприятие2.03.01. </t>
  </si>
  <si>
    <t xml:space="preserve">Йӧзӧс социальнӧя доръян юкӧнын Коми Республикаса канму учреждениеясӧн канму услугаяс сетӧм (уджъяс вӧчӧм) </t>
  </si>
  <si>
    <t xml:space="preserve">Медшӧр мероприятие2.03.02. </t>
  </si>
  <si>
    <t xml:space="preserve">Йӧзӧс социальнӧя могмӧдан учреждениеясын мынтысьӧмӧн услугаяяс система сӧвмӧдӧм </t>
  </si>
  <si>
    <t xml:space="preserve">Медшӧр мероприятие2.03.03. </t>
  </si>
  <si>
    <t xml:space="preserve">Аскотыръясӧс да челядьӧс социальнӧя могмӧдан учреждениеяслысь тыр арлыдтӧмъясӧс дӧзьӧртӧмлунысь да горттӧг кольӧмысь видзан удж котыртӧм </t>
  </si>
  <si>
    <t xml:space="preserve">Медшӧр мероприятие2.03.04. </t>
  </si>
  <si>
    <t xml:space="preserve">Йӧзӧс социальнӧя доръян юкӧнын учреждениеяслысь тыр арлыдтӧмъясӧс дӧзьӧр вылӧ социальнӧй услугаяс сетан организацияясӧ  мӧдӧдан удж бурмӧдӧм </t>
  </si>
  <si>
    <t xml:space="preserve">Медшӧр мероприятие2.04.01. </t>
  </si>
  <si>
    <t xml:space="preserve">Челядя аскотыр институтъяс вынсьӧдӧм вылӧ, аскотырын лёк оласногысь видзан мераяс вылӧ, бать-мамтӧм да бать-мам дӧзьӧртӧг кольӧм челядьӧс аскотырӧ иналан формаяс сӧвмӧдӧм вылӧ мӧдӧдӧм балаяс да уджтасъяс збыльмӧдӧм </t>
  </si>
  <si>
    <t>Медшӧр мероприяние 2.04.02.</t>
  </si>
  <si>
    <t xml:space="preserve"> Гражданаӧс, кодъяс кӧсйӧны лоны тыр арлыдтӧмъясӧс тӧралысьясӧн (тӧждысьысьясӧн), дасьтан технологияяс збыльмӧдӧм </t>
  </si>
  <si>
    <t xml:space="preserve">Медшӧр мероприятие2.04.03. </t>
  </si>
  <si>
    <t xml:space="preserve">«Коми Республика мутасын олӧма граждана да вермытӧмъяс бӧрся дӧзьӧркӧд да отсӧгкӧд йитчӧм ӧткымын юалӧм йылысь» Коми Республикаса Оланпас збыльмӧдӧм </t>
  </si>
  <si>
    <t xml:space="preserve">Медшӧр мероприятие2.04.04. </t>
  </si>
  <si>
    <t xml:space="preserve"> Мобильнӧй бригадаяслысь сикт гӧгӧрладор ылысса олан пунктъясын олӧма гражданаӧс социальнӧя да медицина боксянь могмӧдан удж котыртӧм вылӧ автотранспорт ньӧбӧм </t>
  </si>
  <si>
    <t xml:space="preserve">5 мог. Йӧзӧс социальнӧя могмӧдан юкӧнын услугаяс рынокса участникъясӧс содтӧм </t>
  </si>
  <si>
    <t xml:space="preserve">Медшӧр мероприятие2.05.01. </t>
  </si>
  <si>
    <t xml:space="preserve">Йӧзлы социальнӧя отсӧг сетан да доръян юкӧнын социальнӧй туйвизя абу коммерческӧй организацияяслы канму отсӧг сетӧм </t>
  </si>
  <si>
    <t xml:space="preserve">Медшӧр мероприятие2.05.02. </t>
  </si>
  <si>
    <t xml:space="preserve">Коми Республикаса йӧзӧс социальнӧя могмӧдан юкӧнын канмуа-ас уджъёртасьӧм сӧвмӧдӧм </t>
  </si>
  <si>
    <t xml:space="preserve">3 уджтасув. </t>
  </si>
  <si>
    <t>Канму уджтас збыльмӧдӧм могмӧдӧм</t>
  </si>
  <si>
    <t>Медшӧр мероприятие3.01.01.</t>
  </si>
  <si>
    <t xml:space="preserve">Коми Республикаса олӧмӧ пӧртысь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 </t>
  </si>
  <si>
    <t>Медшӧр мероприятие3.01.02.</t>
  </si>
  <si>
    <t xml:space="preserve">Социальнӧй политикаын котыртӧм да юӧр боксянь урчитӧм уджмогъяс могмӧдӧм </t>
  </si>
  <si>
    <t>Медшӧр мероприятие3.01.03.</t>
  </si>
  <si>
    <t xml:space="preserve">Торъя категорияа гражданаӧс оланінӧн могмӧдӧмын Коми Республикалысь сетӧм канму уджмогъяс збыльмӧдӧм </t>
  </si>
  <si>
    <t>Медшӧр мероприятие3.01.04.</t>
  </si>
  <si>
    <t xml:space="preserve"> Уджтас ӧтув збыльмӧдысьясӧн мероприятиеяс олӧмӧ пӧртӧм бӧрся видзӧдӧм </t>
  </si>
  <si>
    <t>Медшӧр мероприятие3.02.01.</t>
  </si>
  <si>
    <t xml:space="preserve">Йӧзӧс социальнӧя доръян юкӧнын мутас органъяскӧд да канму учреждениеяскӧд ӧтувъя удж </t>
  </si>
  <si>
    <t>Медшӧр мероприятие3.02.02.</t>
  </si>
  <si>
    <t xml:space="preserve">Йӧзӧс социальнӧя доръян юкӧнын мутас органъясӧн да канму учреждениеясӧн Уджтасса мероприятиеяс збыльмӧдӧм бӧрся видзӧдӧм </t>
  </si>
  <si>
    <t>Коми Республикаса канму уджтас вынсьӧдӧм йылысь»</t>
  </si>
  <si>
    <t>Коми Республикаса Веськӧдлан котырлӧн</t>
  </si>
  <si>
    <t xml:space="preserve">2012 во кӧч тӧлысь 28 лунся 412 №-а шуӧмӧ пыртӧм вежсьӧмъяс дорӧ </t>
  </si>
  <si>
    <t>1 №-а содтӧд</t>
  </si>
  <si>
    <t>«6 таблица</t>
  </si>
  <si>
    <t xml:space="preserve">                         «Йӧзӧс социальнӧя дорйӧм» Коми Республикаса канму уджтас Коми Республикаса республиканскӧй сьӧмкуд сьӧм тшӧт весьтӧ                                               (федеральнӧй сьӧмкуд сьӧм урчитӧмӧн) збыльмӧдӧм ресурсъясӧн могмӧдӧм</t>
  </si>
  <si>
    <t xml:space="preserve">Канму уджтас, канму уджтаслӧн уджтасув, дыр кадся торъя мога уджтас (дыр кадся торъя мога уджтаслӧн уджтасув), ведомствоса торъя мога уджтас, медшӧр мероприятие ним </t>
  </si>
  <si>
    <t>Коми Республикаса эмбур агентство</t>
  </si>
  <si>
    <t>Коми Республикаса экономика сӧвмӧдан министерство</t>
  </si>
  <si>
    <t xml:space="preserve">Торъя категорияа гражданалы Коми Республика мутасын ӧтйӧза транспорт услугаяслысь ӧткодь сибаланлун могмӧдӧм </t>
  </si>
  <si>
    <t xml:space="preserve"> Пенсияяс дорӧ содтӧдъяс, пенсионнӧя содтӧд могмӧдӧм</t>
  </si>
  <si>
    <t>«Торъя категорияа гражданалы Коми Республика водзын торъя заслугаясысь сьӧмӧн быд тӧлысся мынтысьӧм йылысь» Коми Республикаса оланпас збыльмӧдӧм</t>
  </si>
  <si>
    <t xml:space="preserve"> «Сьӧм абутӧм вӧсна пикӧ воӧм гражданалы ӧтпырся сьӧма отсӧг кузя социальнӧй мынтысьӧмъяс йылысь» Коми Республикаса Оланпас збыльмӧдӧм</t>
  </si>
  <si>
    <t xml:space="preserve">Уджтас олӧмӧ пӧртігӧн «Коми Республика мутасын ӧтйӧза пӧрадок видзӧмын гражданалӧн участвуйтӧм йылысь» Коми Республикаса Оланпас збыльмӧдӧм </t>
  </si>
  <si>
    <t xml:space="preserve">Уджтас олӧмӧ пӧртігӧн «Социалистическӧй Уджвывса Геройяслы да Удж Слава ордена тыр кавалеръяслы социальнӧй гаратияяс сетӧм йылысь» Федеральнӧй оланпас збыльмӧдӧм </t>
  </si>
  <si>
    <t xml:space="preserve">Медшӧр мероприятие1.01.27. </t>
  </si>
  <si>
    <r>
      <t xml:space="preserve"> </t>
    </r>
    <r>
      <rPr>
        <sz val="10"/>
        <color indexed="8"/>
        <rFont val="Times New Roman"/>
        <family val="1"/>
      </rPr>
      <t xml:space="preserve">Общеобразовательнӧй организацияясын велöдчысьяслӧн да быдтасъяслӧн, улыс тшупöда уджсикасö велöдан, шöр тшупöда уджсикасö велöдан да вылыс тшупöда уджсикасö велöдан организацияясын очнöя велöдчысьяслӧн карбердса öтувъя вöдитчан кöрт туй транспортöн ветлӧм вылӧ тарифъяс серти кокньӧдъяс сувтӧдігӧн чӧжӧсын артмӧм воштӧмъясын кӧрт туй транспорт организацияяслы мыйтакӧ мынтысьӧм </t>
    </r>
  </si>
  <si>
    <t xml:space="preserve">Медшӧр мероприятие1.01.28. </t>
  </si>
  <si>
    <t xml:space="preserve">Уджтас олӧмӧ пӧртігӧн «Лыйсян ӧружье, боеприпасъяс, взрывайтан веществояс да взрывайтанторъяс ас кӧсйӧм серти сетӧмысь сьӧмӧн компенсация йылысь» Коми Республикаса Оланпас збыльмӧдӧм </t>
  </si>
  <si>
    <t xml:space="preserve">Медшӧр мероприятие1.01.29. </t>
  </si>
  <si>
    <t xml:space="preserve"> Йӧзлы, кодъясӧс оз ков сооциальнӧя быть страхуйтны уджавны недыр вермытӧмлун дырйи да мамлункӧд йитӧдын, да йӧзлы, кодъясӧс вештісны организация тупкӧмкӧд (удж, торъя мортӧн уджмогъяс дугӧдӧмкӧд) йитӧдын, канмусянь сьӧма отсӧг сетӧм </t>
  </si>
  <si>
    <t xml:space="preserve">2 мог. Боевӧй тышъясса ветеранъяслы да вермытӧмъяслы, батьтӧм-мамтӧм челядь да бать-мам дӧзьӧртӧг кольӧм челядь лыдысь гражданалы найӧс оланінӧн могмӧдӧмын отсӧг сетӧм </t>
  </si>
  <si>
    <t>Бать-мамтӧм челядьӧс да бать-мам дӧзьӧртӧг кольӧм челядьӧс, бать-мамтӧм да бать-мам дӧзьӧртӧг кольӧм челядь лыдысь йӧзӧс социальнӧя медалӧм йылысь сёрнитчӧмъяс серти муниципальнӧй оланін фондысь олан жыръясӧн могмӧдӧм</t>
  </si>
  <si>
    <r>
      <t>Б</t>
    </r>
    <r>
      <rPr>
        <sz val="10"/>
        <color indexed="8"/>
        <rFont val="Times New Roman"/>
        <family val="1"/>
      </rPr>
      <t>ать-мамтӧм челядьӧс да бать-мам дӧзьӧртӧг кольӧм челядьӧс, бать-мамтӧм да бать-мам дӧзьӧртӧг кольӧм челядь лыдысь йӧзӧс Коми Республикаса канму оланін фондысь олан жыръясӧн могмӧдӧм</t>
    </r>
  </si>
  <si>
    <t xml:space="preserve">Медшӧр мероприятие1.02.05. </t>
  </si>
  <si>
    <t>Коми Республикаса йӧзлы отсӧг сетан агентство,  сы лыдын федеральнӧй сьӧмкуд сьӧм тшӧт весьтӧ</t>
  </si>
  <si>
    <t>Уджавтӧм пенсионеръяслы, кодъяс босьтӧны удж пенсия пӧрысьлун вӧсна да уджавны вермытӧмлун вӧсна, стӧч социальнӧй отсӧг сетан юкӧнын Коми Республикаса социальнӧй уджтас збыльмӧдӧм</t>
  </si>
  <si>
    <t xml:space="preserve">Медшӧр мероприятие1.03.08. </t>
  </si>
  <si>
    <t xml:space="preserve">Сьӧмӧн быдтӧлысся мынтысьӧм, кутшӧмӧс индӧны коймӧд кага либӧ водзӧ лоысь кагаяс чужӧмсянь кагалы куим арӧс тыртӧдз </t>
  </si>
  <si>
    <t xml:space="preserve">Медшӧр мероприятие2.03.05. </t>
  </si>
  <si>
    <r>
      <t xml:space="preserve">Россия Федерацияса субъектъяс костын, а сідзжӧ СНГ пырысь канмуяслӧн мутасын тыр арлыдтӧмъясӧс, кодъяс юасьтӧг мунісны аскотыръясысь, челядь керкаясысь, школа-интернатъясысь, торъя быдтан-велӧдан да мукӧд челядь учреждениеысь, </t>
    </r>
    <r>
      <rPr>
        <sz val="10"/>
        <color indexed="8"/>
        <rFont val="Times New Roman"/>
        <family val="1"/>
      </rPr>
      <t xml:space="preserve">мӧдлаӧ нуӧмкӧд йитчӧм удж нуӧдӧм </t>
    </r>
  </si>
  <si>
    <t>Медшӧр мероприятие2.03.06.</t>
  </si>
  <si>
    <t xml:space="preserve">Коми Республикалӧн канму учреждениеясса социальнӧй уджалысьяслӧн уджысь мынтысян тшупӧд кыпӧдӧм могмӧдӧм </t>
  </si>
  <si>
    <t xml:space="preserve">«Олӧма граждана да вермытӧмъяс бӧрся дӧзьӧркӧд да отсӧгкӧд йитчӧм ӧткымын юалӧм йылысь» Коми Республикаса Оланпас збыльмӧдӧм </t>
  </si>
  <si>
    <t xml:space="preserve">Йӧзлы социальнӧя отсӧг сетн да доръян юкӧнын социальнӧй туйвизя абу коммерческӧй организацияяслы канму отсӧг сетӧм </t>
  </si>
  <si>
    <t>Медшӧр мероприятие2.05.02.</t>
  </si>
  <si>
    <t>Коми Республикаса канму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 (шӧр аппарат)</t>
  </si>
  <si>
    <t>Коми Республикаса канму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 (мутас органъяс)</t>
  </si>
  <si>
    <t>Медшӧр мероприятие3.01.05.</t>
  </si>
  <si>
    <t>7 таблица</t>
  </si>
  <si>
    <t xml:space="preserve">«Йӧзӧс социальнӧя дорйӧм» Коми Республикаса канму уджтаслысь могъяс збыльмӧдӧм вылӧ Коми Республикаса республиканскӧй сьӧмкуд (федеральнӧй сьӧмкуд сьӧм урчитӧмӧн), Коми Республикаса канму небюджетнӧй фондъяслысь сьӧмкудъяс, меставывса сьӧмкудъяс да юридическӧй кывкутысьясӧс ресурсъясӧн могмӧдӧм да налысь рӧскод прогнозируйтӧм (юӧр сетӧм) донъялӧм </t>
  </si>
  <si>
    <t>Сьӧмӧн могмӧдан ӧшмӧс</t>
  </si>
  <si>
    <t>Рӧскод донъялӧм (сюрс шайт), вояс</t>
  </si>
  <si>
    <t>Всего</t>
  </si>
  <si>
    <t>ставнас,</t>
  </si>
  <si>
    <t>Коми Республикаса республиканскӧй сьӧмкуд</t>
  </si>
  <si>
    <t>ФБ</t>
  </si>
  <si>
    <t>-на пӧвстысь федеральнӧй сьӧмкуд сьӧм тшӧт весьтӧ</t>
  </si>
  <si>
    <t xml:space="preserve"> меставывса сьӧмкудъяс</t>
  </si>
  <si>
    <t>канму небюджетнӧй фондъяс</t>
  </si>
  <si>
    <t>юридическӧй кывкутысьяс</t>
  </si>
  <si>
    <t>чӧжӧса уджысь сьӧм</t>
  </si>
  <si>
    <t xml:space="preserve">меставывса сьӧмкудъяс </t>
  </si>
  <si>
    <t>Медшӧр мероприятие 1.01.01.</t>
  </si>
  <si>
    <t>Медшӧр мероприятие 1.01.02.</t>
  </si>
  <si>
    <t>Медшӧр мероприятие 1.01.03.</t>
  </si>
  <si>
    <t>Медшӧр мероприятие 1.01.04.</t>
  </si>
  <si>
    <t>Медшӧр мероприятие 1.01.05.</t>
  </si>
  <si>
    <t>Медшӧр мероприятие 1.01.06.</t>
  </si>
  <si>
    <t>«Торъя категорияа гражданалӧны Коми Республика водзын торъя заслугаясысь сьӧмӧн быд тӧлысся мынтысьӧм йылысь» Коми Республикаса оланпас збыльмӧдӧм</t>
  </si>
  <si>
    <t>Медшӧр мероприятие 1.01.07.</t>
  </si>
  <si>
    <t>Медшӧр мероприятие 1.01.08.</t>
  </si>
  <si>
    <t>Медшӧр мероприятие 1.01.09.</t>
  </si>
  <si>
    <t>Медшӧр мероприятие 1.01.10.</t>
  </si>
  <si>
    <t>Медшӧр мероприятие 1.01.11.</t>
  </si>
  <si>
    <t>Медшӧр мероприятие 1.01.12.</t>
  </si>
  <si>
    <t>Медшӧр мероприятие 1.01.13.</t>
  </si>
  <si>
    <t>Медшӧр мероприятие 1.01.14.</t>
  </si>
  <si>
    <t>«Коми Республикаса Веськӧдлан котырлӧн премияяс йылысь» Коми Республикаса Веськӧдлан котырлысь шуӧм збыльмӧдӧм</t>
  </si>
  <si>
    <t>Медшӧр мероприятие 1.01.15.</t>
  </si>
  <si>
    <t>Медшӧр мероприятие 1.01.16.</t>
  </si>
  <si>
    <t xml:space="preserve">«СССР почёта донор», «Россияса почёта донор» морӧспасӧн наградитӧм йӧзлы социальнӧй отсӧг сетан мераяс </t>
  </si>
  <si>
    <t>Медшӧр мероприятие 1.01.17.</t>
  </si>
  <si>
    <t>Медшӧр мероприятие 1.01.18.</t>
  </si>
  <si>
    <t>Медшӧр мероприятие 1.01.19.</t>
  </si>
  <si>
    <t>Медшӧр мероприятие 1.01.20.</t>
  </si>
  <si>
    <t>Медшӧр мероприятие 1.01.21.</t>
  </si>
  <si>
    <t>Медшӧр мероприятие 1.01.22.</t>
  </si>
  <si>
    <t>Медшӧр мероприятие 1.01.23.</t>
  </si>
  <si>
    <t>Медшӧр мероприятие 1.01.24.</t>
  </si>
  <si>
    <t>Медшӧр мероприятие 1.01.25.</t>
  </si>
  <si>
    <t>Медшӧр мероприятие 1.01.26.</t>
  </si>
  <si>
    <t xml:space="preserve">Уджтас олӧмӧ пӧртігӧн «Социалистическӧй Уджвывса Геройяслы да Удж Слава ордена тыр кавалеръяслы социальнӧй гарантияяс сетӧм йылысь» Федеральнӧй оланпас збыльмӧдӧм </t>
  </si>
  <si>
    <t>Медшӧр мероприятие 1.02.01.</t>
  </si>
  <si>
    <t>Медшӧр мероприятие 1.02.02.</t>
  </si>
  <si>
    <t>Медшӧр мероприятие 1.02.04.</t>
  </si>
  <si>
    <t>Медшӧр мероприятие 1.02.05.</t>
  </si>
  <si>
    <t>Медшӧр мероприятие 1.03.01.</t>
  </si>
  <si>
    <t>Медшӧр мероприятие 1.03.02.</t>
  </si>
  <si>
    <r>
      <t xml:space="preserve">«Канму общеобразовательнӧй учреждениеясын, уджсикасӧ велӧдан канму организацияясын, кодъяс лоӧны Коми Республикаса веськӧдлӧм улын, муниципальнӧй общеобразовательнӧй учреждениеясын, а сідзжӧ </t>
    </r>
    <r>
      <rPr>
        <sz val="10"/>
        <color indexed="8"/>
        <rFont val="Times New Roman"/>
        <family val="1"/>
      </rPr>
      <t>уджсикасӧ велӧдан канму оручреждениеясын, кутшӧмъяс велӧдӧны канмусянь аккредитуйтӧм медшӧр велӧдан уджтасъяс серти,  урчитӧм пӧрадок серти гӧля олысьясӧн лыддьӧм аскотыръясысь велӧдчысьясӧс, кодъяс велӧдчӧны Коми Республикаса республиканскӧй сьӧмкуд тшӧт весьтӧ, вердӧм йылысь да Коми Республикаса ӧткымын оланпас пыртан актӧ вежсьӧмъяс пыртӧм йылысь» Коми Республикаса Оланпас збыльмӧдӧм</t>
    </r>
  </si>
  <si>
    <t>Медшӧр мероприятие 1.03.03.</t>
  </si>
  <si>
    <t>Медшӧр мероприятие 1.03.04.</t>
  </si>
  <si>
    <t>Медшӧр мероприятие1.03.05.</t>
  </si>
  <si>
    <t>Медшӧр мероприятие 1.03.06.</t>
  </si>
  <si>
    <t>Медшӧр мероприятие 1.03.07.</t>
  </si>
  <si>
    <t>Медшӧр мероприятие 1.04.01.</t>
  </si>
  <si>
    <t>Медшӧр мероприятие 1.04.02.</t>
  </si>
  <si>
    <t>Медшӧр мероприятие 1.04.03.</t>
  </si>
  <si>
    <t>Медшӧр мероприятие 1.04.04.</t>
  </si>
  <si>
    <r>
      <t xml:space="preserve"> </t>
    </r>
    <r>
      <rPr>
        <b/>
        <sz val="10"/>
        <color indexed="8"/>
        <rFont val="Times New Roman"/>
        <family val="1"/>
      </rPr>
      <t>Йӧзӧс социальнӧя могмӧдан система</t>
    </r>
  </si>
  <si>
    <t>Медшӧр мероприятие 2.01.01.</t>
  </si>
  <si>
    <t>Медшӧр мероприятие 2.01.02.</t>
  </si>
  <si>
    <t>Медшӧр мероприятие 2.01.03.</t>
  </si>
  <si>
    <t>Медшӧр мероприятие 2.02.01.</t>
  </si>
  <si>
    <t>Медшӧр мероприятие 2.02.02.</t>
  </si>
  <si>
    <t>Медшӧр мероприятие 2.03.01.</t>
  </si>
  <si>
    <t>Медшӧр мероприятие 2.03.02.</t>
  </si>
  <si>
    <t xml:space="preserve">Йӧзӧс социальнӧя могмӧдан учреждениеясын мынтысьӧмӧн услугаяс система сӧвмӧдӧм </t>
  </si>
  <si>
    <t>Медшӧр мероприятие 2.03.03.</t>
  </si>
  <si>
    <t>Медшӧр мероприятие 2.03.04.</t>
  </si>
  <si>
    <t>Медшӧр мероприятие 2.04.01.</t>
  </si>
  <si>
    <t>Медшӧр мероприятие 2.04.02.</t>
  </si>
  <si>
    <t>Медшӧр мероприятие 2.04.03.</t>
  </si>
  <si>
    <t>Медшӧр мероприятие 2.04.04.</t>
  </si>
  <si>
    <t>Медшӧр мероприятие 2.05.01.</t>
  </si>
  <si>
    <t xml:space="preserve">Йӧзлы социальнӧй отсӧг сетан да доръян юкӧнын социальнӧй туйвизя абу коммерческӧй организацияяслы канму отсӧг сетӧм </t>
  </si>
  <si>
    <t>Медшӧр мероприятие 2.05.02.</t>
  </si>
  <si>
    <t>Медшӧр мероприятие 3.01.01.</t>
  </si>
  <si>
    <t>Коми Республикаса олӧмӧ пӧртысь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t>
  </si>
  <si>
    <t>Медшӧр мероприятие 3.01.03.</t>
  </si>
  <si>
    <t xml:space="preserve">Социальнӧй политикаын Коми Республикаса олӧмӧ пӧртысь власьт органъяслысь котыртӧм да юӧр боксянь урчитӧм уджмогъяс могмӧдӧм </t>
  </si>
  <si>
    <t>Медшӧр мероприятие 3.01.04.</t>
  </si>
  <si>
    <t>Медшӧр мероприятие 3.01.05.</t>
  </si>
  <si>
    <t>Медшӧр мероприятие 3.02.01.</t>
  </si>
  <si>
    <t>Медшӧр мероприятие 3.02.02.</t>
  </si>
  <si>
    <t>- на пӧвстысь федеральнӧй сьӧмкуд сьӧм тшӧт весьтӧ</t>
  </si>
  <si>
    <t xml:space="preserve">канму небюджетнӧй фондъяс </t>
  </si>
  <si>
    <t>Медшӧр мероприятие1.01.02.</t>
  </si>
  <si>
    <t>Медшӧр мероприятие1.01.03.</t>
  </si>
  <si>
    <t>Медшӧр мероприятие1.01.04.</t>
  </si>
  <si>
    <t>Медшӧр мероприятие1.01.05.</t>
  </si>
  <si>
    <t>Медшӧр мероприятие1.01.06.</t>
  </si>
  <si>
    <t>Медшӧр мероприятие1.01.07.</t>
  </si>
  <si>
    <t>Медшӧр мероприятие1.01.08.</t>
  </si>
  <si>
    <t>Медшӧр мероприятие1.01.09.</t>
  </si>
  <si>
    <t>Медшӧр мероприятие1.01.10.</t>
  </si>
  <si>
    <t>Медшӧр мероприятие1.01.11.</t>
  </si>
  <si>
    <t>Медшӧр мероприятие1.01.12.</t>
  </si>
  <si>
    <t>Медшӧр мероприятие1.01.13.</t>
  </si>
  <si>
    <t>Медшӧр мероприятие1.01.14.</t>
  </si>
  <si>
    <t>Медшӧр мероприятие1.01.15.</t>
  </si>
  <si>
    <t>Медшӧр мероприятие1.01.16.</t>
  </si>
  <si>
    <t>Медшӧр мероприятие1.01.17.</t>
  </si>
  <si>
    <t>Медшӧр мероприятие1.01.18.</t>
  </si>
  <si>
    <t>Медшӧр мероприятие1.01.19.</t>
  </si>
  <si>
    <t>Медшӧр мероприятие1.01.20.</t>
  </si>
  <si>
    <t>Медшӧр мероприятие1.01.21.</t>
  </si>
  <si>
    <t>Медшӧр мероприятие1.01.22.</t>
  </si>
  <si>
    <t>Медшӧр мероприятие1.01.23.</t>
  </si>
  <si>
    <t>Медшӧр мероприятие1.01.24.</t>
  </si>
  <si>
    <t>Медшӧр мероприятие1.01.25.</t>
  </si>
  <si>
    <t>Медшӧр мероприятие1.01.26.</t>
  </si>
  <si>
    <t>Медшӧр мероприятие1.01.27.</t>
  </si>
  <si>
    <t>Медшӧр мероприятие1.01.28.</t>
  </si>
  <si>
    <t>Медшӧр мероприятие1.01.29.</t>
  </si>
  <si>
    <t>Медшӧр мероприятие1.02.01.</t>
  </si>
  <si>
    <t>Медшӧр мероприятие1.02.02.</t>
  </si>
  <si>
    <t>Медшӧр мероприятие1.02.03.</t>
  </si>
  <si>
    <t>Медшӧр мероприятие1.02.04.</t>
  </si>
  <si>
    <t>Медшӧр мероприятие1.02.05.</t>
  </si>
  <si>
    <t>Медшӧр мероприятие1.03.01.</t>
  </si>
  <si>
    <t>Медшӧр мероприятие1.03.02.</t>
  </si>
  <si>
    <r>
      <t xml:space="preserve">«Канму общеобразовательнӧй организацияясын, уджсикасӧ велӧдан канму организацияясын, кодъяс лоӧны Коми Республикаса веськӧдлӧм улын, муниципальнӧй общеобразовательнӧй организацияясын, а сідзжӧ  </t>
    </r>
    <r>
      <rPr>
        <sz val="10"/>
        <color indexed="8"/>
        <rFont val="Times New Roman"/>
        <family val="1"/>
      </rPr>
      <t>уджсикасӧ велӧдан канму организацияясын, кутшӧмъяс велӧдӧны канмусянь аккредитуйтӧм медшӧр велӧдан уджтасъяс серти,  урчитӧм пӧрадок серти гӧля олысьясӧн лыддьӧм аскотыръясысь велӧдчысьясӧс, кодъяс велӧдчӧны Коми Республикаса республиканскӧй сьӧмкуд тшӧт весьтӧ, вердӧм йылысь да Коми Республикаса ӧткымын оланпас пыртан актӧ вежсьӧмъяс пыртӧм йылысь» Коми Республикаса Оланпас збыльмӧдӧм</t>
    </r>
  </si>
  <si>
    <t>Медшӧр мероприятие1.03.03.</t>
  </si>
  <si>
    <t>Медшӧр мероприятие1.03.08.</t>
  </si>
  <si>
    <t>Медшӧр мероприятие2.01.01.</t>
  </si>
  <si>
    <t>Медшӧр мероприятие2.01.02.</t>
  </si>
  <si>
    <t>Медшӧр мероприятие2.01.03.</t>
  </si>
  <si>
    <t>Медшӧр мероприятие2.02.01.</t>
  </si>
  <si>
    <t>Медшӧр мероприятие2.02.02.</t>
  </si>
  <si>
    <t>Медшӧр мероприятие2.03.01.</t>
  </si>
  <si>
    <t>Медшӧр мероприятие2.03.02.</t>
  </si>
  <si>
    <t>Медшӧр мероприятие2.03.03.</t>
  </si>
  <si>
    <t>Медшӧр мероприятие2.03.04.</t>
  </si>
  <si>
    <t>Медшӧр мероприятие2.03.05.</t>
  </si>
  <si>
    <t>Медшӧр мероприятие2.04.01.</t>
  </si>
  <si>
    <t>Медшӧр мероприятие2.04.02.</t>
  </si>
  <si>
    <t>Медшӧр мероприятие2.04.03.</t>
  </si>
  <si>
    <t>Медшӧр мероприятие2.04.04.</t>
  </si>
  <si>
    <t>Медшӧр мероприятие2.05.01.</t>
  </si>
  <si>
    <t xml:space="preserve">чӧжӧса уджысь сьӧм </t>
  </si>
  <si>
    <t>".</t>
  </si>
  <si>
    <t>7а таблица</t>
  </si>
  <si>
    <t xml:space="preserve">Канму коланлун вылӧ Коми Республикаса республиканскӧй сьӧмкуд сьӧм тшӧт весьтӧ стрӧитны (выльмӧдны) урчитӧм капитальнӧя стрӧитан объект лыддьӧг </t>
  </si>
  <si>
    <t>Уджтасув, дыр кадся республиканскӧй торъя мога уджтас, медшӧр мероприятие да объект ним</t>
  </si>
  <si>
    <t>Вынйӧр</t>
  </si>
  <si>
    <t>Стрӧитан кад</t>
  </si>
  <si>
    <t xml:space="preserve">Сьӧмӧн стрӧитчӧм могмӧдан ыджда, сюрс шайт </t>
  </si>
  <si>
    <t>СТАВНАС УДЖТАССА ОБЪЕКТЪЯС СЕРТИ:</t>
  </si>
  <si>
    <t>сы лыдын ӧшмӧсъяс тшӧт весьтӧ:</t>
  </si>
  <si>
    <t>- Коми Республикаса республиканскӧй сьӧмкуд</t>
  </si>
  <si>
    <r>
      <t xml:space="preserve">2 уджтасув. </t>
    </r>
    <r>
      <rPr>
        <b/>
        <sz val="10"/>
        <color indexed="8"/>
        <rFont val="Times New Roman"/>
        <family val="1"/>
      </rPr>
      <t>Йӧзӧс социальнӧя могмӧдан система</t>
    </r>
  </si>
  <si>
    <t xml:space="preserve">Медшӧр мероприятие 2.01.01. Канму коланлун вылӧ йӧзӧс социальнӧя могмӧдан учреждениеяс стрӧитӧм да выльмӧдӧм </t>
  </si>
  <si>
    <t>а)</t>
  </si>
  <si>
    <t xml:space="preserve">Емва к. пӧрысь йӧзлы да вермытӧмъяслы керка-интернатлӧн узьлан корпус сёянінӧн </t>
  </si>
  <si>
    <t>50 мест</t>
  </si>
  <si>
    <t>2014-2015</t>
  </si>
  <si>
    <t>сы лыдын ӧшмӧсъяс тшӧт весьтӧ</t>
  </si>
  <si>
    <t>б)</t>
  </si>
  <si>
    <t xml:space="preserve">Сыктывкарын Тентюковса пӧрысь йӧзлы да вермытӧмъяслы республиканскӧй керка-интернат 90 места вылӧ ыдждӧдӧм </t>
  </si>
  <si>
    <t>90 мест</t>
  </si>
  <si>
    <t>2016-2018</t>
  </si>
  <si>
    <t>в)</t>
  </si>
  <si>
    <t xml:space="preserve">Сыктыв районса Куниб с. Кунибса республиканскӧй психоневрологическӧй интернат 70 места вылӧ ыдждӧдӧм </t>
  </si>
  <si>
    <t>70 мест</t>
  </si>
  <si>
    <t>2016-2017</t>
  </si>
  <si>
    <t>г)</t>
  </si>
  <si>
    <t xml:space="preserve">Ухта к. республиканскӧй Ухтаса психоневрологическӧй интернат 50 места вылӧ ыдждӧдӧм </t>
  </si>
  <si>
    <t xml:space="preserve">Численность проживающих в стационарах, на конец года </t>
  </si>
  <si>
    <t xml:space="preserve">Численность проживающих в Лемью, на конец года </t>
  </si>
  <si>
    <t>Очередность в стационары</t>
  </si>
  <si>
    <t>Численность граждан, получивших стационарные услуги в отделениях временного проживания, стац.отделениях</t>
  </si>
  <si>
    <t>Очередность в отделения временного проживания, в стац.отделения</t>
  </si>
  <si>
    <t>Численность граждан, получивших полустационарное обслуживание</t>
  </si>
  <si>
    <t>Очередность на полустационарное обслуживание</t>
  </si>
  <si>
    <t>Численность граждан, получивших надомное соцобслуживание</t>
  </si>
  <si>
    <t>Очередность на надомное соцрбслуживание</t>
  </si>
  <si>
    <t>Численность граждан, получивших соцуслуги</t>
  </si>
  <si>
    <t>Численность граждан, обратившихся за соцуслугами</t>
  </si>
  <si>
    <t>Уровень обеспеченности населения социальными услугами в общем количестве нуждающихся в таких услугах</t>
  </si>
</sst>
</file>

<file path=xl/styles.xml><?xml version="1.0" encoding="utf-8"?>
<styleSheet xmlns="http://schemas.openxmlformats.org/spreadsheetml/2006/main">
  <numFmts count="9">
    <numFmt numFmtId="164" formatCode="GENERAL"/>
    <numFmt numFmtId="165" formatCode="_-* #,##0.00_р_._-;\-* #,##0.00_р_._-;_-* \-??_р_._-;_-@_-"/>
    <numFmt numFmtId="166" formatCode="0"/>
    <numFmt numFmtId="167" formatCode="0.0"/>
    <numFmt numFmtId="168" formatCode="@"/>
    <numFmt numFmtId="169" formatCode="#,##0.0"/>
    <numFmt numFmtId="170" formatCode="#,##0"/>
    <numFmt numFmtId="171" formatCode="#,##0.00"/>
    <numFmt numFmtId="172" formatCode="0.00"/>
  </numFmts>
  <fonts count="42">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Cyr"/>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Cyr"/>
      <family val="2"/>
    </font>
    <font>
      <sz val="11"/>
      <name val="Times New Roman"/>
      <family val="1"/>
    </font>
    <font>
      <b/>
      <sz val="11"/>
      <name val="Times New Roman"/>
      <family val="1"/>
    </font>
    <font>
      <b/>
      <sz val="11"/>
      <color indexed="8"/>
      <name val="Times New Roman"/>
      <family val="1"/>
    </font>
    <font>
      <sz val="11"/>
      <name val="Liberation Serif;Times New Roman"/>
      <family val="1"/>
    </font>
    <font>
      <sz val="12"/>
      <name val="Liberation Serif;Times New Roman"/>
      <family val="1"/>
    </font>
    <font>
      <b/>
      <sz val="12"/>
      <name val="Times New Roman"/>
      <family val="1"/>
    </font>
    <font>
      <b/>
      <i/>
      <sz val="11"/>
      <name val="Arial Cyr"/>
      <family val="2"/>
    </font>
    <font>
      <sz val="10"/>
      <name val="Times New Roman"/>
      <family val="1"/>
    </font>
    <font>
      <sz val="12"/>
      <name val="Times New Roman"/>
      <family val="1"/>
    </font>
    <font>
      <b/>
      <sz val="10"/>
      <name val="Times New Roman"/>
      <family val="1"/>
    </font>
    <font>
      <sz val="10"/>
      <color indexed="8"/>
      <name val="Times New Roman"/>
      <family val="1"/>
    </font>
    <font>
      <b/>
      <sz val="12"/>
      <color indexed="8"/>
      <name val="Times New Roman"/>
      <family val="1"/>
    </font>
    <font>
      <b/>
      <sz val="10"/>
      <color indexed="8"/>
      <name val="Times New Roman"/>
      <family val="1"/>
    </font>
    <font>
      <b/>
      <i/>
      <sz val="10"/>
      <name val="Times New Roman"/>
      <family val="1"/>
    </font>
    <font>
      <sz val="10"/>
      <color indexed="9"/>
      <name val="Times New Roman"/>
      <family val="1"/>
    </font>
    <font>
      <sz val="11"/>
      <color indexed="8"/>
      <name val="Times New Roman"/>
      <family val="1"/>
    </font>
    <font>
      <sz val="12"/>
      <color indexed="8"/>
      <name val="Times New Roman"/>
      <family val="1"/>
    </font>
    <font>
      <b/>
      <sz val="8"/>
      <color indexed="8"/>
      <name val="Times New Roman"/>
      <family val="1"/>
    </font>
    <font>
      <sz val="10"/>
      <color indexed="10"/>
      <name val="Times New Roman"/>
      <family val="1"/>
    </font>
    <font>
      <i/>
      <sz val="10"/>
      <name val="Times New Roman"/>
      <family val="1"/>
    </font>
    <font>
      <b/>
      <sz val="10"/>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59"/>
      </left>
      <right style="thin">
        <color indexed="59"/>
      </right>
      <top style="thin">
        <color indexed="59"/>
      </top>
      <bottom style="thin">
        <color indexed="59"/>
      </bottom>
    </border>
    <border>
      <left>
        <color indexed="63"/>
      </left>
      <right>
        <color indexed="63"/>
      </right>
      <top>
        <color indexed="63"/>
      </top>
      <bottom style="thin">
        <color indexed="8"/>
      </bottom>
    </border>
    <border>
      <left style="thin">
        <color indexed="59"/>
      </left>
      <right style="thin">
        <color indexed="59"/>
      </right>
      <top style="thin">
        <color indexed="59"/>
      </top>
      <bottom>
        <color indexed="63"/>
      </bottom>
    </border>
    <border>
      <left style="thin">
        <color indexed="59"/>
      </left>
      <right>
        <color indexed="63"/>
      </right>
      <top style="thin">
        <color indexed="59"/>
      </top>
      <bottom style="thin">
        <color indexed="59"/>
      </bottom>
    </border>
    <border>
      <left style="thin">
        <color indexed="59"/>
      </left>
      <right style="thin">
        <color indexed="59"/>
      </right>
      <top>
        <color indexed="63"/>
      </top>
      <bottom style="thin">
        <color indexed="59"/>
      </bottom>
    </border>
    <border>
      <left style="thin">
        <color indexed="8"/>
      </left>
      <right>
        <color indexed="63"/>
      </right>
      <top>
        <color indexed="63"/>
      </top>
      <bottom>
        <color indexed="63"/>
      </bottom>
    </border>
    <border>
      <left>
        <color indexed="63"/>
      </left>
      <right>
        <color indexed="63"/>
      </right>
      <top>
        <color indexed="63"/>
      </top>
      <bottom style="thin">
        <color indexed="59"/>
      </bottom>
    </border>
    <border>
      <left style="thin">
        <color indexed="59"/>
      </left>
      <right style="thin">
        <color indexed="59"/>
      </right>
      <top style="thin">
        <color indexed="59"/>
      </top>
      <bottom style="thin">
        <color indexed="8"/>
      </bottom>
    </border>
    <border>
      <left>
        <color indexed="63"/>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style="thin">
        <color indexed="59"/>
      </right>
      <top>
        <color indexed="63"/>
      </top>
      <bottom>
        <color indexed="63"/>
      </bottom>
    </border>
  </borders>
  <cellStyleXfs count="8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 fillId="0" borderId="0">
      <alignment/>
      <protection/>
    </xf>
    <xf numFmtId="164" fontId="0" fillId="0" borderId="0">
      <alignment/>
      <protection/>
    </xf>
    <xf numFmtId="164" fontId="2" fillId="0" borderId="0">
      <alignment/>
      <protection/>
    </xf>
    <xf numFmtId="164" fontId="2" fillId="0" borderId="0">
      <alignment/>
      <protection/>
    </xf>
    <xf numFmtId="164" fontId="14" fillId="0" borderId="0">
      <alignment/>
      <protection/>
    </xf>
    <xf numFmtId="164" fontId="0" fillId="0" borderId="0">
      <alignment/>
      <protection/>
    </xf>
    <xf numFmtId="164" fontId="15" fillId="3" borderId="0" applyNumberFormat="0" applyBorder="0" applyAlignment="0" applyProtection="0"/>
    <xf numFmtId="164" fontId="16" fillId="0" borderId="0" applyNumberFormat="0" applyFill="0" applyBorder="0" applyAlignment="0" applyProtection="0"/>
    <xf numFmtId="164" fontId="0" fillId="23" borderId="8" applyNumberFormat="0" applyAlignment="0" applyProtection="0"/>
    <xf numFmtId="164" fontId="17" fillId="0" borderId="9" applyNumberFormat="0" applyFill="0" applyAlignment="0" applyProtection="0"/>
    <xf numFmtId="164" fontId="18"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9" fillId="4" borderId="0" applyNumberFormat="0" applyBorder="0" applyAlignment="0" applyProtection="0"/>
  </cellStyleXfs>
  <cellXfs count="311">
    <xf numFmtId="164" fontId="0" fillId="0" borderId="0" xfId="0" applyAlignment="1">
      <alignment/>
    </xf>
    <xf numFmtId="164" fontId="20" fillId="0" borderId="0" xfId="0" applyFont="1" applyAlignment="1">
      <alignment/>
    </xf>
    <xf numFmtId="164" fontId="21" fillId="0" borderId="0" xfId="0" applyFont="1" applyBorder="1" applyAlignment="1">
      <alignment horizontal="right" vertical="top" wrapText="1"/>
    </xf>
    <xf numFmtId="164" fontId="21" fillId="0" borderId="0" xfId="0" applyFont="1" applyBorder="1" applyAlignment="1">
      <alignment horizontal="right" vertical="center"/>
    </xf>
    <xf numFmtId="164" fontId="21" fillId="0" borderId="0" xfId="0" applyFont="1" applyAlignment="1">
      <alignment/>
    </xf>
    <xf numFmtId="164" fontId="21" fillId="0" borderId="0" xfId="0" applyFont="1" applyAlignment="1">
      <alignment horizontal="right" vertical="top" wrapText="1"/>
    </xf>
    <xf numFmtId="164" fontId="22" fillId="24" borderId="0" xfId="0" applyFont="1" applyFill="1" applyBorder="1" applyAlignment="1">
      <alignment horizontal="center" vertical="top" wrapText="1"/>
    </xf>
    <xf numFmtId="164" fontId="21" fillId="0" borderId="10" xfId="0" applyFont="1" applyBorder="1" applyAlignment="1">
      <alignment horizontal="center" vertical="top" wrapText="1"/>
    </xf>
    <xf numFmtId="164" fontId="21" fillId="0" borderId="10" xfId="0" applyFont="1" applyBorder="1" applyAlignment="1">
      <alignment horizontal="center"/>
    </xf>
    <xf numFmtId="164" fontId="23" fillId="0" borderId="10" xfId="0" applyFont="1" applyBorder="1" applyAlignment="1">
      <alignment horizontal="center" vertical="top" wrapText="1"/>
    </xf>
    <xf numFmtId="164" fontId="21" fillId="0" borderId="10" xfId="0" applyFont="1" applyBorder="1" applyAlignment="1">
      <alignment horizontal="center" vertical="top"/>
    </xf>
    <xf numFmtId="164" fontId="24" fillId="0" borderId="10" xfId="0" applyFont="1" applyFill="1" applyBorder="1" applyAlignment="1">
      <alignment horizontal="left" vertical="top" wrapText="1"/>
    </xf>
    <xf numFmtId="164" fontId="21" fillId="0" borderId="10" xfId="0" applyFont="1" applyFill="1" applyBorder="1" applyAlignment="1">
      <alignment horizontal="center" vertical="center" wrapText="1"/>
    </xf>
    <xf numFmtId="166" fontId="21" fillId="0" borderId="10" xfId="78" applyNumberFormat="1" applyFont="1" applyFill="1" applyBorder="1" applyAlignment="1" applyProtection="1">
      <alignment horizontal="center" vertical="center"/>
      <protection/>
    </xf>
    <xf numFmtId="167" fontId="21" fillId="0" borderId="10" xfId="78" applyNumberFormat="1" applyFont="1" applyFill="1" applyBorder="1" applyAlignment="1" applyProtection="1">
      <alignment horizontal="center" vertical="center"/>
      <protection/>
    </xf>
    <xf numFmtId="164" fontId="22" fillId="0" borderId="10" xfId="0" applyFont="1" applyBorder="1" applyAlignment="1">
      <alignment horizontal="center" vertical="top" wrapText="1"/>
    </xf>
    <xf numFmtId="164" fontId="22" fillId="0" borderId="10" xfId="0" applyFont="1" applyBorder="1" applyAlignment="1">
      <alignment horizontal="center" vertical="top" wrapText="1"/>
    </xf>
    <xf numFmtId="164" fontId="21" fillId="0" borderId="10" xfId="0" applyFont="1" applyBorder="1" applyAlignment="1">
      <alignment horizontal="justify" vertical="top" wrapText="1"/>
    </xf>
    <xf numFmtId="164" fontId="21" fillId="0" borderId="10" xfId="0" applyFont="1" applyBorder="1" applyAlignment="1">
      <alignment horizontal="center" vertical="center"/>
    </xf>
    <xf numFmtId="164" fontId="22" fillId="0" borderId="10" xfId="0" applyFont="1" applyFill="1" applyBorder="1" applyAlignment="1">
      <alignment horizontal="center" vertical="top" wrapText="1"/>
    </xf>
    <xf numFmtId="164" fontId="21" fillId="0" borderId="10" xfId="0" applyFont="1" applyFill="1" applyBorder="1" applyAlignment="1">
      <alignment horizontal="center" vertical="top"/>
    </xf>
    <xf numFmtId="164" fontId="21" fillId="0" borderId="10" xfId="0" applyFont="1" applyFill="1" applyBorder="1" applyAlignment="1">
      <alignment horizontal="justify" vertical="top" wrapText="1"/>
    </xf>
    <xf numFmtId="166" fontId="21" fillId="24" borderId="10" xfId="78" applyNumberFormat="1" applyFont="1" applyFill="1" applyBorder="1" applyAlignment="1" applyProtection="1">
      <alignment horizontal="center" vertical="center"/>
      <protection/>
    </xf>
    <xf numFmtId="164" fontId="21" fillId="24" borderId="10" xfId="78" applyNumberFormat="1" applyFont="1" applyFill="1" applyBorder="1" applyAlignment="1" applyProtection="1">
      <alignment horizontal="center" vertical="center"/>
      <protection/>
    </xf>
    <xf numFmtId="168" fontId="21" fillId="0" borderId="10" xfId="78" applyNumberFormat="1" applyFont="1" applyFill="1" applyBorder="1" applyAlignment="1" applyProtection="1">
      <alignment horizontal="center" vertical="center"/>
      <protection/>
    </xf>
    <xf numFmtId="164" fontId="21" fillId="0" borderId="10" xfId="78" applyNumberFormat="1" applyFont="1" applyFill="1" applyBorder="1" applyAlignment="1" applyProtection="1">
      <alignment horizontal="center" vertical="center"/>
      <protection/>
    </xf>
    <xf numFmtId="164" fontId="21" fillId="0" borderId="10" xfId="0" applyFont="1" applyFill="1" applyBorder="1" applyAlignment="1">
      <alignment horizontal="justify" vertical="top" wrapText="1"/>
    </xf>
    <xf numFmtId="169" fontId="21" fillId="0" borderId="10" xfId="0" applyNumberFormat="1" applyFont="1" applyFill="1" applyBorder="1" applyAlignment="1" applyProtection="1">
      <alignment horizontal="center" vertical="center" wrapText="1"/>
      <protection/>
    </xf>
    <xf numFmtId="167" fontId="21" fillId="24" borderId="10" xfId="78" applyNumberFormat="1" applyFont="1" applyFill="1" applyBorder="1" applyAlignment="1" applyProtection="1">
      <alignment horizontal="center" vertical="center"/>
      <protection/>
    </xf>
    <xf numFmtId="164" fontId="21" fillId="24" borderId="10" xfId="0" applyFont="1" applyFill="1" applyBorder="1" applyAlignment="1">
      <alignment horizontal="justify" vertical="top" wrapText="1"/>
    </xf>
    <xf numFmtId="166" fontId="21" fillId="0" borderId="10" xfId="0" applyNumberFormat="1" applyFont="1" applyFill="1" applyBorder="1" applyAlignment="1">
      <alignment horizontal="center" vertical="center" wrapText="1"/>
    </xf>
    <xf numFmtId="164" fontId="21" fillId="24" borderId="10" xfId="0" applyFont="1" applyFill="1" applyBorder="1" applyAlignment="1">
      <alignment horizontal="center" vertical="center" wrapText="1"/>
    </xf>
    <xf numFmtId="164" fontId="27" fillId="0" borderId="0" xfId="0" applyFont="1" applyAlignment="1">
      <alignment/>
    </xf>
    <xf numFmtId="164" fontId="21" fillId="0" borderId="10" xfId="0" applyFont="1" applyBorder="1" applyAlignment="1">
      <alignment horizontal="center" vertical="center" wrapText="1"/>
    </xf>
    <xf numFmtId="164" fontId="21" fillId="0" borderId="0" xfId="0" applyFont="1" applyAlignment="1">
      <alignment horizontal="justify" vertical="top" wrapText="1"/>
    </xf>
    <xf numFmtId="164" fontId="22" fillId="0" borderId="10" xfId="0" applyFont="1" applyFill="1" applyBorder="1" applyAlignment="1">
      <alignment horizontal="center" vertical="top" wrapText="1"/>
    </xf>
    <xf numFmtId="164" fontId="21" fillId="24" borderId="10" xfId="0" applyFont="1" applyFill="1" applyBorder="1" applyAlignment="1">
      <alignment horizontal="center" vertical="top" wrapText="1"/>
    </xf>
    <xf numFmtId="169" fontId="21" fillId="24" borderId="10" xfId="0" applyNumberFormat="1" applyFont="1" applyFill="1" applyBorder="1" applyAlignment="1">
      <alignment horizontal="center" vertical="center" wrapText="1"/>
    </xf>
    <xf numFmtId="164" fontId="21" fillId="0" borderId="10" xfId="0" applyFont="1" applyFill="1" applyBorder="1" applyAlignment="1">
      <alignment horizontal="center" vertical="top" wrapText="1"/>
    </xf>
    <xf numFmtId="169" fontId="21" fillId="0" borderId="10" xfId="0" applyNumberFormat="1" applyFont="1" applyFill="1" applyBorder="1" applyAlignment="1">
      <alignment horizontal="center" vertical="center" wrapText="1"/>
    </xf>
    <xf numFmtId="170" fontId="21" fillId="24" borderId="10" xfId="0" applyNumberFormat="1" applyFont="1" applyFill="1" applyBorder="1" applyAlignment="1">
      <alignment horizontal="center" vertical="center" wrapText="1"/>
    </xf>
    <xf numFmtId="164" fontId="21" fillId="24" borderId="10" xfId="0" applyFont="1" applyFill="1" applyBorder="1" applyAlignment="1">
      <alignment horizontal="center" vertical="top"/>
    </xf>
    <xf numFmtId="171" fontId="21" fillId="24" borderId="10" xfId="0" applyNumberFormat="1" applyFont="1" applyFill="1" applyBorder="1" applyAlignment="1">
      <alignment horizontal="center" vertical="center" wrapText="1"/>
    </xf>
    <xf numFmtId="171" fontId="21" fillId="24" borderId="10" xfId="78" applyNumberFormat="1" applyFont="1" applyFill="1" applyBorder="1" applyAlignment="1" applyProtection="1">
      <alignment horizontal="center" vertical="center"/>
      <protection/>
    </xf>
    <xf numFmtId="164" fontId="21" fillId="24" borderId="11" xfId="0" applyFont="1" applyFill="1" applyBorder="1" applyAlignment="1">
      <alignment horizontal="justify" vertical="top" wrapText="1"/>
    </xf>
    <xf numFmtId="167" fontId="21" fillId="24" borderId="10" xfId="0" applyNumberFormat="1" applyFont="1" applyFill="1" applyBorder="1" applyAlignment="1">
      <alignment horizontal="center" vertical="center"/>
    </xf>
    <xf numFmtId="167" fontId="21" fillId="0" borderId="10" xfId="0" applyNumberFormat="1" applyFont="1" applyFill="1" applyBorder="1" applyAlignment="1">
      <alignment horizontal="center" vertical="center"/>
    </xf>
    <xf numFmtId="164" fontId="21" fillId="0" borderId="10" xfId="0" applyFont="1" applyFill="1" applyBorder="1" applyAlignment="1">
      <alignment horizontal="left" vertical="top" wrapText="1"/>
    </xf>
    <xf numFmtId="167" fontId="21" fillId="0" borderId="10" xfId="0" applyNumberFormat="1" applyFont="1" applyFill="1" applyBorder="1" applyAlignment="1">
      <alignment horizontal="center" vertical="center" wrapText="1"/>
    </xf>
    <xf numFmtId="172" fontId="21" fillId="0" borderId="10" xfId="0" applyNumberFormat="1" applyFont="1" applyFill="1" applyBorder="1" applyAlignment="1">
      <alignment horizontal="center" vertical="center" wrapText="1"/>
    </xf>
    <xf numFmtId="164" fontId="20" fillId="24" borderId="0" xfId="0" applyFont="1" applyFill="1" applyAlignment="1">
      <alignment/>
    </xf>
    <xf numFmtId="164" fontId="20" fillId="25" borderId="0" xfId="0" applyFont="1" applyFill="1" applyAlignment="1">
      <alignment/>
    </xf>
    <xf numFmtId="164" fontId="21" fillId="24" borderId="12" xfId="0" applyFont="1" applyFill="1" applyBorder="1" applyAlignment="1">
      <alignment horizontal="center" vertical="center" wrapText="1"/>
    </xf>
    <xf numFmtId="164" fontId="21" fillId="0" borderId="13" xfId="0" applyFont="1" applyFill="1" applyBorder="1" applyAlignment="1">
      <alignment horizontal="center" vertical="center" wrapText="1"/>
    </xf>
    <xf numFmtId="166" fontId="21" fillId="0" borderId="14" xfId="78" applyNumberFormat="1" applyFont="1" applyFill="1" applyBorder="1" applyAlignment="1" applyProtection="1">
      <alignment horizontal="center" vertical="center"/>
      <protection/>
    </xf>
    <xf numFmtId="164" fontId="21" fillId="0" borderId="15" xfId="0" applyFont="1" applyBorder="1" applyAlignment="1">
      <alignment horizontal="center" vertical="top"/>
    </xf>
    <xf numFmtId="164" fontId="28" fillId="0" borderId="0" xfId="0" applyFont="1" applyFill="1" applyAlignment="1">
      <alignment vertical="center"/>
    </xf>
    <xf numFmtId="164" fontId="28" fillId="0" borderId="0" xfId="0" applyFont="1" applyFill="1" applyAlignment="1">
      <alignment horizontal="left" vertical="center"/>
    </xf>
    <xf numFmtId="164" fontId="29" fillId="0" borderId="0" xfId="0" applyFont="1" applyAlignment="1">
      <alignment/>
    </xf>
    <xf numFmtId="164" fontId="29" fillId="0" borderId="0" xfId="0" applyFont="1" applyBorder="1" applyAlignment="1">
      <alignment horizontal="right" vertical="top" wrapText="1"/>
    </xf>
    <xf numFmtId="164" fontId="29" fillId="0" borderId="0" xfId="0" applyFont="1" applyFill="1" applyAlignment="1">
      <alignment vertical="center"/>
    </xf>
    <xf numFmtId="164" fontId="29" fillId="0" borderId="0" xfId="0" applyFont="1" applyFill="1" applyAlignment="1">
      <alignment horizontal="left" vertical="center"/>
    </xf>
    <xf numFmtId="164" fontId="29" fillId="0" borderId="0" xfId="0" applyFont="1" applyFill="1" applyAlignment="1">
      <alignment vertical="center" wrapText="1"/>
    </xf>
    <xf numFmtId="164" fontId="29" fillId="0" borderId="0" xfId="0" applyFont="1" applyFill="1" applyAlignment="1">
      <alignment horizontal="right" vertical="center" wrapText="1"/>
    </xf>
    <xf numFmtId="164" fontId="26" fillId="24" borderId="0" xfId="0" applyFont="1" applyFill="1" applyBorder="1" applyAlignment="1">
      <alignment horizontal="center" vertical="center" wrapText="1"/>
    </xf>
    <xf numFmtId="164" fontId="26" fillId="0" borderId="0" xfId="0" applyFont="1" applyFill="1" applyAlignment="1">
      <alignment vertical="center"/>
    </xf>
    <xf numFmtId="164" fontId="30" fillId="0" borderId="16" xfId="0" applyFont="1" applyFill="1" applyBorder="1" applyAlignment="1">
      <alignment horizontal="center" vertical="center" wrapText="1"/>
    </xf>
    <xf numFmtId="164" fontId="0" fillId="0" borderId="16" xfId="0" applyFont="1" applyFill="1" applyBorder="1" applyAlignment="1">
      <alignment horizontal="center" vertical="center" wrapText="1"/>
    </xf>
    <xf numFmtId="164" fontId="30" fillId="0" borderId="0" xfId="0" applyFont="1" applyFill="1" applyAlignment="1">
      <alignment vertical="center"/>
    </xf>
    <xf numFmtId="164" fontId="28" fillId="24" borderId="10" xfId="0" applyFont="1" applyFill="1" applyBorder="1" applyAlignment="1">
      <alignment horizontal="center" vertical="center" wrapText="1"/>
    </xf>
    <xf numFmtId="164" fontId="28" fillId="0" borderId="10" xfId="0" applyFont="1" applyFill="1" applyBorder="1" applyAlignment="1">
      <alignment horizontal="center" vertical="center" wrapText="1"/>
    </xf>
    <xf numFmtId="164" fontId="30" fillId="0" borderId="0" xfId="0" applyFont="1" applyFill="1" applyAlignment="1">
      <alignment horizontal="left" vertical="center"/>
    </xf>
    <xf numFmtId="164" fontId="28" fillId="0" borderId="0" xfId="0" applyFont="1" applyFill="1" applyAlignment="1">
      <alignment horizontal="center" vertical="center"/>
    </xf>
    <xf numFmtId="164" fontId="30" fillId="0" borderId="10" xfId="0" applyFont="1" applyFill="1" applyBorder="1" applyAlignment="1">
      <alignment horizontal="center" vertical="center" wrapText="1"/>
    </xf>
    <xf numFmtId="164" fontId="31" fillId="0" borderId="10" xfId="69" applyFont="1" applyFill="1" applyBorder="1" applyAlignment="1">
      <alignment horizontal="center" vertical="center" wrapText="1"/>
      <protection/>
    </xf>
    <xf numFmtId="164" fontId="31" fillId="24" borderId="10" xfId="80" applyNumberFormat="1" applyFont="1" applyFill="1" applyBorder="1" applyAlignment="1" applyProtection="1">
      <alignment horizontal="justify" vertical="top" wrapText="1"/>
      <protection/>
    </xf>
    <xf numFmtId="164" fontId="28" fillId="0" borderId="10" xfId="0" applyFont="1" applyFill="1" applyBorder="1" applyAlignment="1">
      <alignment horizontal="center" vertical="top" wrapText="1"/>
    </xf>
    <xf numFmtId="164" fontId="28" fillId="0" borderId="10" xfId="0" applyFont="1" applyFill="1" applyBorder="1" applyAlignment="1">
      <alignment horizontal="justify" vertical="top" wrapText="1"/>
    </xf>
    <xf numFmtId="164" fontId="31" fillId="24" borderId="10" xfId="68" applyNumberFormat="1" applyFont="1" applyFill="1" applyBorder="1" applyAlignment="1">
      <alignment horizontal="justify" vertical="top" wrapText="1"/>
      <protection/>
    </xf>
    <xf numFmtId="164" fontId="28" fillId="0" borderId="10" xfId="0" applyFont="1" applyFill="1" applyBorder="1" applyAlignment="1">
      <alignment vertical="top" wrapText="1"/>
    </xf>
    <xf numFmtId="164" fontId="31" fillId="0" borderId="10" xfId="68" applyNumberFormat="1" applyFont="1" applyFill="1" applyBorder="1" applyAlignment="1">
      <alignment horizontal="justify" vertical="top" wrapText="1"/>
      <protection/>
    </xf>
    <xf numFmtId="164" fontId="31" fillId="0" borderId="10" xfId="80" applyNumberFormat="1" applyFont="1" applyFill="1" applyBorder="1" applyAlignment="1" applyProtection="1">
      <alignment horizontal="justify" vertical="top" wrapText="1"/>
      <protection/>
    </xf>
    <xf numFmtId="164" fontId="28" fillId="0" borderId="10" xfId="0" applyFont="1" applyFill="1" applyBorder="1" applyAlignment="1">
      <alignment vertical="center" wrapText="1"/>
    </xf>
    <xf numFmtId="164" fontId="28" fillId="0" borderId="10" xfId="80" applyNumberFormat="1" applyFont="1" applyFill="1" applyBorder="1" applyAlignment="1" applyProtection="1">
      <alignment horizontal="justify" vertical="top" wrapText="1"/>
      <protection/>
    </xf>
    <xf numFmtId="164" fontId="31" fillId="0" borderId="10" xfId="80" applyNumberFormat="1" applyFont="1" applyFill="1" applyBorder="1" applyAlignment="1" applyProtection="1">
      <alignment horizontal="justify" vertical="top" wrapText="1"/>
      <protection/>
    </xf>
    <xf numFmtId="164" fontId="31" fillId="24" borderId="10" xfId="79" applyNumberFormat="1" applyFont="1" applyFill="1" applyBorder="1" applyAlignment="1" applyProtection="1">
      <alignment horizontal="justify" vertical="top" wrapText="1"/>
      <protection/>
    </xf>
    <xf numFmtId="164" fontId="31" fillId="24" borderId="10" xfId="80" applyNumberFormat="1" applyFont="1" applyFill="1" applyBorder="1" applyAlignment="1" applyProtection="1">
      <alignment horizontal="justify" vertical="top" wrapText="1"/>
      <protection/>
    </xf>
    <xf numFmtId="164" fontId="28" fillId="24" borderId="10" xfId="80" applyNumberFormat="1" applyFont="1" applyFill="1" applyBorder="1" applyAlignment="1" applyProtection="1">
      <alignment horizontal="justify" vertical="top" wrapText="1"/>
      <protection/>
    </xf>
    <xf numFmtId="164" fontId="28" fillId="0" borderId="10" xfId="79" applyNumberFormat="1" applyFont="1" applyFill="1" applyBorder="1" applyAlignment="1" applyProtection="1">
      <alignment horizontal="justify" vertical="top" wrapText="1"/>
      <protection/>
    </xf>
    <xf numFmtId="164" fontId="31" fillId="24" borderId="10" xfId="68" applyNumberFormat="1" applyFont="1" applyFill="1" applyBorder="1" applyAlignment="1">
      <alignment horizontal="left" vertical="top" wrapText="1"/>
      <protection/>
    </xf>
    <xf numFmtId="164" fontId="28" fillId="24" borderId="10" xfId="0" applyFont="1" applyFill="1" applyBorder="1" applyAlignment="1">
      <alignment horizontal="center" vertical="top" wrapText="1"/>
    </xf>
    <xf numFmtId="164" fontId="28" fillId="24" borderId="10" xfId="0" applyFont="1" applyFill="1" applyBorder="1" applyAlignment="1">
      <alignment vertical="top" wrapText="1"/>
    </xf>
    <xf numFmtId="164" fontId="28" fillId="24" borderId="10" xfId="0" applyFont="1" applyFill="1" applyBorder="1" applyAlignment="1">
      <alignment horizontal="justify" vertical="top" wrapText="1"/>
    </xf>
    <xf numFmtId="164" fontId="28" fillId="24" borderId="10" xfId="80" applyNumberFormat="1" applyFont="1" applyFill="1" applyBorder="1" applyAlignment="1" applyProtection="1">
      <alignment horizontal="justify" vertical="top" wrapText="1"/>
      <protection/>
    </xf>
    <xf numFmtId="164" fontId="31" fillId="24" borderId="10" xfId="69" applyFont="1" applyFill="1" applyBorder="1" applyAlignment="1">
      <alignment horizontal="center" vertical="center" wrapText="1"/>
      <protection/>
    </xf>
    <xf numFmtId="169" fontId="28" fillId="0" borderId="0" xfId="0" applyNumberFormat="1" applyFont="1" applyFill="1" applyAlignment="1">
      <alignment vertical="center"/>
    </xf>
    <xf numFmtId="164" fontId="28" fillId="0" borderId="10" xfId="0" applyFont="1" applyFill="1" applyBorder="1" applyAlignment="1">
      <alignment horizontal="center" vertical="center"/>
    </xf>
    <xf numFmtId="169" fontId="28" fillId="0" borderId="0" xfId="0" applyNumberFormat="1" applyFont="1" applyFill="1" applyAlignment="1">
      <alignment horizontal="left" vertical="center"/>
    </xf>
    <xf numFmtId="164" fontId="28" fillId="24" borderId="10" xfId="0" applyFont="1" applyFill="1" applyBorder="1" applyAlignment="1">
      <alignment horizontal="center" vertical="center"/>
    </xf>
    <xf numFmtId="164" fontId="28" fillId="24" borderId="0" xfId="0" applyFont="1" applyFill="1" applyAlignment="1">
      <alignment horizontal="left" vertical="center"/>
    </xf>
    <xf numFmtId="169" fontId="28" fillId="24" borderId="0" xfId="0" applyNumberFormat="1" applyFont="1" applyFill="1" applyAlignment="1">
      <alignment horizontal="left" vertical="center"/>
    </xf>
    <xf numFmtId="164" fontId="28" fillId="0" borderId="10" xfId="80" applyNumberFormat="1" applyFont="1" applyFill="1" applyBorder="1" applyAlignment="1" applyProtection="1">
      <alignment horizontal="justify" vertical="top" wrapText="1"/>
      <protection/>
    </xf>
    <xf numFmtId="164" fontId="28" fillId="24" borderId="10" xfId="79" applyNumberFormat="1" applyFont="1" applyFill="1" applyBorder="1" applyAlignment="1" applyProtection="1">
      <alignment horizontal="justify" vertical="center" wrapText="1"/>
      <protection/>
    </xf>
    <xf numFmtId="164" fontId="28" fillId="0" borderId="13" xfId="0" applyFont="1" applyFill="1" applyBorder="1" applyAlignment="1">
      <alignment horizontal="center" vertical="center"/>
    </xf>
    <xf numFmtId="164" fontId="28" fillId="24" borderId="10" xfId="69" applyFont="1" applyFill="1" applyBorder="1" applyAlignment="1">
      <alignment horizontal="center" vertical="center" wrapText="1"/>
      <protection/>
    </xf>
    <xf numFmtId="164" fontId="28" fillId="24" borderId="10" xfId="79" applyNumberFormat="1" applyFont="1" applyFill="1" applyBorder="1" applyAlignment="1" applyProtection="1">
      <alignment horizontal="justify" vertical="top" wrapText="1"/>
      <protection/>
    </xf>
    <xf numFmtId="164" fontId="28" fillId="25" borderId="0" xfId="0" applyFont="1" applyFill="1" applyAlignment="1">
      <alignment horizontal="left" vertical="center"/>
    </xf>
    <xf numFmtId="164" fontId="30" fillId="0" borderId="10" xfId="0" applyFont="1" applyFill="1" applyBorder="1" applyAlignment="1">
      <alignment horizontal="center" vertical="top" wrapText="1"/>
    </xf>
    <xf numFmtId="171" fontId="34" fillId="0" borderId="0" xfId="0" applyNumberFormat="1" applyFont="1" applyFill="1" applyAlignment="1">
      <alignment horizontal="left" vertical="center"/>
    </xf>
    <xf numFmtId="164" fontId="28" fillId="0" borderId="10" xfId="0" applyFont="1" applyFill="1" applyBorder="1" applyAlignment="1">
      <alignment horizontal="left" vertical="top" wrapText="1"/>
    </xf>
    <xf numFmtId="164" fontId="31" fillId="0" borderId="10" xfId="68" applyFont="1" applyFill="1" applyBorder="1" applyAlignment="1">
      <alignment horizontal="justify" vertical="top" wrapText="1"/>
      <protection/>
    </xf>
    <xf numFmtId="164" fontId="28" fillId="24" borderId="12" xfId="68" applyNumberFormat="1" applyFont="1" applyFill="1" applyBorder="1" applyAlignment="1">
      <alignment horizontal="left" vertical="top" wrapText="1"/>
      <protection/>
    </xf>
    <xf numFmtId="164" fontId="28" fillId="24" borderId="10" xfId="0" applyFont="1" applyFill="1" applyBorder="1" applyAlignment="1">
      <alignment horizontal="left" vertical="top" wrapText="1"/>
    </xf>
    <xf numFmtId="164" fontId="35" fillId="0" borderId="0" xfId="0" applyFont="1" applyFill="1" applyAlignment="1">
      <alignment horizontal="left" vertical="center"/>
    </xf>
    <xf numFmtId="169" fontId="28" fillId="25" borderId="0" xfId="0" applyNumberFormat="1" applyFont="1" applyFill="1" applyAlignment="1">
      <alignment horizontal="left" vertical="center"/>
    </xf>
    <xf numFmtId="164" fontId="28" fillId="24" borderId="14" xfId="0" applyFont="1" applyFill="1" applyBorder="1" applyAlignment="1">
      <alignment horizontal="justify" vertical="top" wrapText="1"/>
    </xf>
    <xf numFmtId="164" fontId="28" fillId="24" borderId="10" xfId="79" applyNumberFormat="1" applyFont="1" applyFill="1" applyBorder="1" applyAlignment="1" applyProtection="1">
      <alignment horizontal="left" vertical="top" wrapText="1"/>
      <protection/>
    </xf>
    <xf numFmtId="169" fontId="34" fillId="0" borderId="0" xfId="0" applyNumberFormat="1" applyFont="1" applyFill="1" applyAlignment="1">
      <alignment horizontal="left" vertical="center"/>
    </xf>
    <xf numFmtId="164" fontId="28" fillId="0" borderId="17" xfId="0" applyFont="1" applyFill="1" applyBorder="1" applyAlignment="1">
      <alignment horizontal="justify" vertical="top" wrapText="1"/>
    </xf>
    <xf numFmtId="164" fontId="0" fillId="0" borderId="0" xfId="0" applyFill="1" applyAlignment="1">
      <alignment/>
    </xf>
    <xf numFmtId="164" fontId="26" fillId="24" borderId="10" xfId="67" applyFont="1" applyFill="1" applyBorder="1" applyAlignment="1">
      <alignment horizontal="center" vertical="center" wrapText="1"/>
      <protection/>
    </xf>
    <xf numFmtId="164" fontId="29" fillId="0" borderId="10" xfId="67" applyFont="1" applyFill="1" applyBorder="1" applyAlignment="1">
      <alignment horizontal="center" vertical="center"/>
      <protection/>
    </xf>
    <xf numFmtId="164" fontId="29" fillId="0" borderId="14" xfId="67" applyFont="1" applyFill="1" applyBorder="1" applyAlignment="1">
      <alignment horizontal="center" vertical="center" wrapText="1"/>
      <protection/>
    </xf>
    <xf numFmtId="164" fontId="29" fillId="0" borderId="10" xfId="67" applyFont="1" applyFill="1" applyBorder="1" applyAlignment="1">
      <alignment horizontal="center" vertical="center" wrapText="1"/>
      <protection/>
    </xf>
    <xf numFmtId="164" fontId="29" fillId="24" borderId="10" xfId="67" applyFont="1" applyFill="1" applyBorder="1" applyAlignment="1">
      <alignment horizontal="center" vertical="center" wrapText="1"/>
      <protection/>
    </xf>
    <xf numFmtId="164" fontId="21" fillId="0" borderId="10" xfId="67" applyFont="1" applyFill="1" applyBorder="1" applyAlignment="1">
      <alignment horizontal="center" vertical="center"/>
      <protection/>
    </xf>
    <xf numFmtId="168" fontId="21" fillId="0" borderId="10" xfId="67" applyNumberFormat="1" applyFont="1" applyFill="1" applyBorder="1" applyAlignment="1">
      <alignment horizontal="justify" vertical="top" wrapText="1"/>
      <protection/>
    </xf>
    <xf numFmtId="166" fontId="21" fillId="0" borderId="10" xfId="67" applyNumberFormat="1" applyFont="1" applyFill="1" applyBorder="1" applyAlignment="1">
      <alignment horizontal="justify" vertical="top" wrapText="1"/>
      <protection/>
    </xf>
    <xf numFmtId="169" fontId="21" fillId="0" borderId="10" xfId="67" applyNumberFormat="1" applyFont="1" applyFill="1" applyBorder="1" applyAlignment="1">
      <alignment horizontal="center" vertical="center" wrapText="1"/>
      <protection/>
    </xf>
    <xf numFmtId="164" fontId="21" fillId="0" borderId="10" xfId="67" applyFont="1" applyFill="1" applyBorder="1" applyAlignment="1">
      <alignment horizontal="justify" vertical="top" wrapText="1"/>
      <protection/>
    </xf>
    <xf numFmtId="168" fontId="21" fillId="0" borderId="10" xfId="67" applyNumberFormat="1" applyFont="1" applyFill="1" applyBorder="1" applyAlignment="1">
      <alignment horizontal="justify" vertical="top" wrapText="1"/>
      <protection/>
    </xf>
    <xf numFmtId="164" fontId="0" fillId="24" borderId="0" xfId="0" applyFill="1" applyBorder="1" applyAlignment="1">
      <alignment vertical="top" wrapText="1"/>
    </xf>
    <xf numFmtId="164" fontId="29" fillId="0" borderId="0" xfId="0" applyFont="1" applyBorder="1" applyAlignment="1">
      <alignment horizontal="right" vertical="center"/>
    </xf>
    <xf numFmtId="164" fontId="26" fillId="0" borderId="0" xfId="0" applyFont="1" applyBorder="1" applyAlignment="1">
      <alignment horizontal="center" vertical="top" wrapText="1"/>
    </xf>
    <xf numFmtId="164" fontId="29" fillId="0" borderId="10" xfId="0" applyFont="1" applyBorder="1" applyAlignment="1">
      <alignment horizontal="center" vertical="top" wrapText="1"/>
    </xf>
    <xf numFmtId="164" fontId="29" fillId="0" borderId="10" xfId="0" applyFont="1" applyBorder="1" applyAlignment="1">
      <alignment horizontal="center"/>
    </xf>
    <xf numFmtId="164" fontId="26" fillId="0" borderId="10" xfId="0" applyFont="1" applyBorder="1" applyAlignment="1">
      <alignment horizontal="center" vertical="top" wrapText="1"/>
    </xf>
    <xf numFmtId="164" fontId="29" fillId="0" borderId="12" xfId="0" applyFont="1" applyBorder="1" applyAlignment="1">
      <alignment horizontal="center" vertical="top"/>
    </xf>
    <xf numFmtId="164" fontId="29" fillId="0" borderId="10" xfId="0" applyFont="1" applyBorder="1" applyAlignment="1">
      <alignment horizontal="left" vertical="top" wrapText="1"/>
    </xf>
    <xf numFmtId="164" fontId="29" fillId="0" borderId="10" xfId="0" applyFont="1" applyBorder="1" applyAlignment="1">
      <alignment horizontal="justify" vertical="top" wrapText="1"/>
    </xf>
    <xf numFmtId="164" fontId="29" fillId="0" borderId="10" xfId="0" applyFont="1" applyBorder="1" applyAlignment="1">
      <alignment horizontal="center" vertical="top"/>
    </xf>
    <xf numFmtId="164" fontId="29" fillId="0" borderId="18" xfId="0" applyFont="1" applyBorder="1" applyAlignment="1">
      <alignment horizontal="justify" vertical="top" wrapText="1"/>
    </xf>
    <xf numFmtId="164" fontId="29" fillId="0" borderId="10" xfId="0" applyFont="1" applyFill="1" applyBorder="1" applyAlignment="1">
      <alignment horizontal="center" vertical="top"/>
    </xf>
    <xf numFmtId="164" fontId="29" fillId="0" borderId="18" xfId="0" applyFont="1" applyBorder="1" applyAlignment="1">
      <alignment horizontal="left" vertical="top" wrapText="1"/>
    </xf>
    <xf numFmtId="164" fontId="29" fillId="0" borderId="19" xfId="0" applyFont="1" applyBorder="1" applyAlignment="1">
      <alignment horizontal="justify" vertical="top" wrapText="1"/>
    </xf>
    <xf numFmtId="164" fontId="37" fillId="0" borderId="10" xfId="0" applyFont="1" applyFill="1" applyBorder="1" applyAlignment="1">
      <alignment horizontal="justify" vertical="top" wrapText="1"/>
    </xf>
    <xf numFmtId="164" fontId="29" fillId="0" borderId="20" xfId="0" applyFont="1" applyFill="1" applyBorder="1" applyAlignment="1">
      <alignment horizontal="justify" vertical="top" wrapText="1"/>
    </xf>
    <xf numFmtId="164" fontId="29" fillId="0" borderId="10" xfId="0" applyFont="1" applyFill="1" applyBorder="1" applyAlignment="1">
      <alignment horizontal="center" vertical="top" wrapText="1"/>
    </xf>
    <xf numFmtId="164" fontId="29" fillId="0" borderId="14" xfId="0" applyFont="1" applyFill="1" applyBorder="1" applyAlignment="1">
      <alignment horizontal="justify" vertical="top" wrapText="1"/>
    </xf>
    <xf numFmtId="164" fontId="29" fillId="0" borderId="14" xfId="0" applyFont="1" applyFill="1" applyBorder="1" applyAlignment="1">
      <alignment horizontal="center" vertical="top" wrapText="1"/>
    </xf>
    <xf numFmtId="164" fontId="28" fillId="0" borderId="0" xfId="0" applyFont="1" applyAlignment="1">
      <alignment/>
    </xf>
    <xf numFmtId="164" fontId="26" fillId="0" borderId="0" xfId="0" applyFont="1" applyAlignment="1">
      <alignment horizontal="center" vertical="center"/>
    </xf>
    <xf numFmtId="164" fontId="26" fillId="0" borderId="0" xfId="0" applyFont="1" applyAlignment="1">
      <alignment/>
    </xf>
    <xf numFmtId="164" fontId="28" fillId="0" borderId="10" xfId="0" applyFont="1" applyBorder="1" applyAlignment="1">
      <alignment horizontal="center" vertical="center" wrapText="1"/>
    </xf>
    <xf numFmtId="164" fontId="28" fillId="0" borderId="10" xfId="0" applyFont="1" applyBorder="1" applyAlignment="1">
      <alignment horizontal="center" vertical="center"/>
    </xf>
    <xf numFmtId="164" fontId="30" fillId="24" borderId="10" xfId="0" applyFont="1" applyFill="1" applyBorder="1" applyAlignment="1">
      <alignment horizontal="center" vertical="center" wrapText="1"/>
    </xf>
    <xf numFmtId="164" fontId="30" fillId="24" borderId="10" xfId="0" applyFont="1" applyFill="1" applyBorder="1" applyAlignment="1">
      <alignment horizontal="center" vertical="center" wrapText="1"/>
    </xf>
    <xf numFmtId="164" fontId="22" fillId="0" borderId="0" xfId="0" applyFont="1" applyFill="1" applyAlignment="1">
      <alignment/>
    </xf>
    <xf numFmtId="164" fontId="28" fillId="0" borderId="0" xfId="0" applyFont="1" applyFill="1" applyAlignment="1">
      <alignment/>
    </xf>
    <xf numFmtId="164" fontId="30" fillId="0" borderId="10" xfId="0" applyFont="1" applyFill="1" applyBorder="1" applyAlignment="1">
      <alignment vertical="top" wrapText="1"/>
    </xf>
    <xf numFmtId="170" fontId="28" fillId="0" borderId="10" xfId="0" applyNumberFormat="1" applyFont="1" applyFill="1" applyBorder="1" applyAlignment="1">
      <alignment horizontal="center" vertical="center" wrapText="1"/>
    </xf>
    <xf numFmtId="169" fontId="28" fillId="0" borderId="10" xfId="0" applyNumberFormat="1" applyFont="1" applyFill="1" applyBorder="1" applyAlignment="1">
      <alignment horizontal="center" vertical="center" wrapText="1"/>
    </xf>
    <xf numFmtId="170" fontId="28" fillId="0" borderId="10" xfId="0" applyNumberFormat="1" applyFont="1" applyFill="1" applyBorder="1" applyAlignment="1">
      <alignment horizontal="center"/>
    </xf>
    <xf numFmtId="169" fontId="28" fillId="0" borderId="10" xfId="0" applyNumberFormat="1" applyFont="1" applyFill="1" applyBorder="1" applyAlignment="1">
      <alignment horizontal="center" vertical="center"/>
    </xf>
    <xf numFmtId="164" fontId="28" fillId="0" borderId="10" xfId="0" applyFont="1" applyFill="1" applyBorder="1" applyAlignment="1">
      <alignment vertical="center"/>
    </xf>
    <xf numFmtId="164" fontId="28" fillId="0" borderId="10" xfId="0" applyFont="1" applyFill="1" applyBorder="1" applyAlignment="1">
      <alignment horizontal="center"/>
    </xf>
    <xf numFmtId="164" fontId="30" fillId="0" borderId="10" xfId="0" applyFont="1" applyBorder="1" applyAlignment="1">
      <alignment vertical="top" wrapText="1"/>
    </xf>
    <xf numFmtId="164" fontId="30" fillId="0" borderId="10" xfId="0" applyFont="1" applyBorder="1" applyAlignment="1">
      <alignment/>
    </xf>
    <xf numFmtId="164" fontId="30" fillId="0" borderId="10" xfId="0" applyFont="1" applyBorder="1" applyAlignment="1">
      <alignment horizontal="center"/>
    </xf>
    <xf numFmtId="171" fontId="30" fillId="0" borderId="10" xfId="0" applyNumberFormat="1" applyFont="1" applyBorder="1" applyAlignment="1">
      <alignment horizontal="center"/>
    </xf>
    <xf numFmtId="164" fontId="30" fillId="0" borderId="0" xfId="0" applyFont="1" applyAlignment="1">
      <alignment/>
    </xf>
    <xf numFmtId="169" fontId="30" fillId="0" borderId="10" xfId="0" applyNumberFormat="1" applyFont="1" applyFill="1" applyBorder="1" applyAlignment="1">
      <alignment horizontal="center" vertical="center"/>
    </xf>
    <xf numFmtId="164" fontId="28" fillId="24" borderId="0" xfId="0" applyFont="1" applyFill="1" applyAlignment="1">
      <alignment vertical="center"/>
    </xf>
    <xf numFmtId="169" fontId="28" fillId="0" borderId="0" xfId="0" applyNumberFormat="1" applyFont="1" applyFill="1" applyAlignment="1">
      <alignment horizontal="center" vertical="center"/>
    </xf>
    <xf numFmtId="164" fontId="37" fillId="24" borderId="0" xfId="69" applyFont="1" applyFill="1" applyAlignment="1">
      <alignment vertical="center" wrapText="1"/>
      <protection/>
    </xf>
    <xf numFmtId="169" fontId="37" fillId="0" borderId="0" xfId="69" applyNumberFormat="1" applyFont="1" applyFill="1" applyAlignment="1">
      <alignment vertical="center" wrapText="1"/>
      <protection/>
    </xf>
    <xf numFmtId="169" fontId="29" fillId="0" borderId="0" xfId="0" applyNumberFormat="1" applyFont="1" applyFill="1" applyAlignment="1">
      <alignment horizontal="center" vertical="center"/>
    </xf>
    <xf numFmtId="164" fontId="32" fillId="0" borderId="0" xfId="69" applyFont="1" applyFill="1" applyBorder="1" applyAlignment="1">
      <alignment horizontal="center" vertical="center" wrapText="1"/>
      <protection/>
    </xf>
    <xf numFmtId="164" fontId="32" fillId="0" borderId="0" xfId="69" applyFont="1" applyFill="1" applyAlignment="1">
      <alignment horizontal="center" vertical="center" wrapText="1"/>
      <protection/>
    </xf>
    <xf numFmtId="171" fontId="38" fillId="0" borderId="0" xfId="69" applyNumberFormat="1" applyFont="1" applyFill="1" applyAlignment="1">
      <alignment horizontal="center" vertical="center" wrapText="1"/>
      <protection/>
    </xf>
    <xf numFmtId="164" fontId="31" fillId="0" borderId="10" xfId="69" applyNumberFormat="1" applyFont="1" applyFill="1" applyBorder="1" applyAlignment="1">
      <alignment horizontal="center" vertical="center" wrapText="1"/>
      <protection/>
    </xf>
    <xf numFmtId="164" fontId="28" fillId="0" borderId="10" xfId="68" applyFont="1" applyFill="1" applyBorder="1" applyAlignment="1">
      <alignment horizontal="center" vertical="center" wrapText="1"/>
      <protection/>
    </xf>
    <xf numFmtId="164" fontId="28" fillId="0" borderId="10" xfId="72" applyNumberFormat="1" applyFont="1" applyFill="1" applyBorder="1" applyAlignment="1">
      <alignment horizontal="center" vertical="center" wrapText="1"/>
      <protection/>
    </xf>
    <xf numFmtId="164" fontId="28" fillId="0" borderId="10" xfId="69" applyNumberFormat="1" applyFont="1" applyFill="1" applyBorder="1" applyAlignment="1">
      <alignment horizontal="center" vertical="center" wrapText="1"/>
      <protection/>
    </xf>
    <xf numFmtId="164" fontId="33" fillId="0" borderId="10" xfId="69" applyFont="1" applyFill="1" applyBorder="1" applyAlignment="1">
      <alignment vertical="center" wrapText="1"/>
      <protection/>
    </xf>
    <xf numFmtId="164" fontId="33" fillId="0" borderId="10" xfId="72" applyNumberFormat="1" applyFont="1" applyFill="1" applyBorder="1" applyAlignment="1">
      <alignment horizontal="left" vertical="center" wrapText="1"/>
      <protection/>
    </xf>
    <xf numFmtId="169" fontId="30" fillId="0" borderId="10" xfId="80" applyNumberFormat="1" applyFont="1" applyFill="1" applyBorder="1" applyAlignment="1" applyProtection="1">
      <alignment horizontal="center" vertical="center" wrapText="1"/>
      <protection/>
    </xf>
    <xf numFmtId="169" fontId="30" fillId="0" borderId="0" xfId="0" applyNumberFormat="1" applyFont="1" applyFill="1" applyAlignment="1">
      <alignment horizontal="center" vertical="center"/>
    </xf>
    <xf numFmtId="164" fontId="33" fillId="0" borderId="10" xfId="72" applyNumberFormat="1" applyFont="1" applyFill="1" applyBorder="1" applyAlignment="1">
      <alignment vertical="center" wrapText="1"/>
      <protection/>
    </xf>
    <xf numFmtId="164" fontId="33" fillId="0" borderId="10" xfId="69" applyFont="1" applyFill="1" applyBorder="1" applyAlignment="1">
      <alignment horizontal="left" vertical="center" wrapText="1"/>
      <protection/>
    </xf>
    <xf numFmtId="164" fontId="33" fillId="0" borderId="10" xfId="69" applyFont="1" applyFill="1" applyBorder="1" applyAlignment="1">
      <alignment horizontal="center" vertical="center" wrapText="1"/>
      <protection/>
    </xf>
    <xf numFmtId="164" fontId="28" fillId="24" borderId="10" xfId="69" applyFont="1" applyFill="1" applyBorder="1" applyAlignment="1">
      <alignment horizontal="justify" vertical="top" wrapText="1"/>
      <protection/>
    </xf>
    <xf numFmtId="164" fontId="31" fillId="24" borderId="10" xfId="79" applyNumberFormat="1" applyFont="1" applyFill="1" applyBorder="1" applyAlignment="1" applyProtection="1">
      <alignment horizontal="justify" vertical="top" wrapText="1"/>
      <protection/>
    </xf>
    <xf numFmtId="169" fontId="28" fillId="0" borderId="10" xfId="80" applyNumberFormat="1" applyFont="1" applyFill="1" applyBorder="1" applyAlignment="1" applyProtection="1">
      <alignment horizontal="center" vertical="center" wrapText="1"/>
      <protection/>
    </xf>
    <xf numFmtId="164" fontId="28" fillId="24" borderId="10" xfId="68" applyNumberFormat="1" applyFont="1" applyFill="1" applyBorder="1" applyAlignment="1">
      <alignment horizontal="justify" vertical="top" wrapText="1"/>
      <protection/>
    </xf>
    <xf numFmtId="164" fontId="28" fillId="0" borderId="10" xfId="68" applyNumberFormat="1" applyFont="1" applyFill="1" applyBorder="1" applyAlignment="1">
      <alignment horizontal="justify" vertical="top" wrapText="1"/>
      <protection/>
    </xf>
    <xf numFmtId="164" fontId="31" fillId="0" borderId="10" xfId="79" applyNumberFormat="1" applyFont="1" applyFill="1" applyBorder="1" applyAlignment="1" applyProtection="1">
      <alignment horizontal="justify" vertical="top" wrapText="1"/>
      <protection/>
    </xf>
    <xf numFmtId="164" fontId="31" fillId="24" borderId="10" xfId="79" applyNumberFormat="1" applyFont="1" applyFill="1" applyBorder="1" applyAlignment="1" applyProtection="1">
      <alignment horizontal="justify" vertical="top" wrapText="1"/>
      <protection/>
    </xf>
    <xf numFmtId="169" fontId="28" fillId="0" borderId="10" xfId="69" applyNumberFormat="1" applyFont="1" applyFill="1" applyBorder="1" applyAlignment="1">
      <alignment horizontal="center" vertical="center" wrapText="1"/>
      <protection/>
    </xf>
    <xf numFmtId="164" fontId="30" fillId="24" borderId="10" xfId="69" applyFont="1" applyFill="1" applyBorder="1" applyAlignment="1">
      <alignment horizontal="center" vertical="center" wrapText="1"/>
      <protection/>
    </xf>
    <xf numFmtId="164" fontId="28" fillId="24" borderId="12" xfId="69" applyFont="1" applyFill="1" applyBorder="1" applyAlignment="1">
      <alignment horizontal="justify" vertical="top" wrapText="1"/>
      <protection/>
    </xf>
    <xf numFmtId="164" fontId="28" fillId="0" borderId="10" xfId="69" applyFont="1" applyFill="1" applyBorder="1" applyAlignment="1">
      <alignment horizontal="justify" vertical="top" wrapText="1"/>
      <protection/>
    </xf>
    <xf numFmtId="169" fontId="28" fillId="0" borderId="12" xfId="80" applyNumberFormat="1" applyFont="1" applyFill="1" applyBorder="1" applyAlignment="1" applyProtection="1">
      <alignment horizontal="center" vertical="center" wrapText="1"/>
      <protection/>
    </xf>
    <xf numFmtId="169" fontId="39" fillId="0" borderId="0" xfId="0" applyNumberFormat="1" applyFont="1" applyFill="1" applyAlignment="1">
      <alignment horizontal="center" vertical="center"/>
    </xf>
    <xf numFmtId="164" fontId="39" fillId="0" borderId="0" xfId="0" applyFont="1" applyFill="1" applyAlignment="1">
      <alignment vertical="center"/>
    </xf>
    <xf numFmtId="164" fontId="30" fillId="0" borderId="10" xfId="69" applyFont="1" applyFill="1" applyBorder="1" applyAlignment="1">
      <alignment horizontal="left" vertical="center" wrapText="1"/>
      <protection/>
    </xf>
    <xf numFmtId="164" fontId="33" fillId="0" borderId="10" xfId="72" applyNumberFormat="1" applyFont="1" applyFill="1" applyBorder="1" applyAlignment="1">
      <alignment horizontal="left" vertical="center" wrapText="1"/>
      <protection/>
    </xf>
    <xf numFmtId="164" fontId="30" fillId="0" borderId="10" xfId="72" applyNumberFormat="1" applyFont="1" applyFill="1" applyBorder="1" applyAlignment="1">
      <alignment horizontal="left" vertical="center" wrapText="1"/>
      <protection/>
    </xf>
    <xf numFmtId="164" fontId="30" fillId="24" borderId="14" xfId="69" applyFont="1" applyFill="1" applyBorder="1" applyAlignment="1">
      <alignment horizontal="center" vertical="center" wrapText="1"/>
      <protection/>
    </xf>
    <xf numFmtId="169" fontId="28" fillId="0" borderId="10" xfId="79" applyNumberFormat="1" applyFont="1" applyFill="1" applyBorder="1" applyAlignment="1" applyProtection="1">
      <alignment horizontal="center" vertical="center" wrapText="1"/>
      <protection/>
    </xf>
    <xf numFmtId="164" fontId="28" fillId="0" borderId="12" xfId="80" applyNumberFormat="1" applyFont="1" applyFill="1" applyBorder="1" applyAlignment="1" applyProtection="1">
      <alignment horizontal="justify" vertical="top" wrapText="1"/>
      <protection/>
    </xf>
    <xf numFmtId="164" fontId="30" fillId="24" borderId="13" xfId="69" applyFont="1" applyFill="1" applyBorder="1" applyAlignment="1">
      <alignment horizontal="center" vertical="center" wrapText="1"/>
      <protection/>
    </xf>
    <xf numFmtId="169" fontId="28" fillId="25" borderId="0" xfId="0" applyNumberFormat="1" applyFont="1" applyFill="1" applyAlignment="1">
      <alignment horizontal="center" vertical="center"/>
    </xf>
    <xf numFmtId="164" fontId="28" fillId="25" borderId="0" xfId="0" applyFont="1" applyFill="1" applyAlignment="1">
      <alignment vertical="center"/>
    </xf>
    <xf numFmtId="164" fontId="28" fillId="24" borderId="10" xfId="69" applyFont="1" applyFill="1" applyBorder="1" applyAlignment="1">
      <alignment horizontal="justify" vertical="center" wrapText="1"/>
      <protection/>
    </xf>
    <xf numFmtId="164" fontId="28" fillId="0" borderId="10" xfId="0" applyFont="1" applyFill="1" applyBorder="1" applyAlignment="1">
      <alignment horizontal="left" vertical="center" wrapText="1"/>
    </xf>
    <xf numFmtId="164" fontId="29" fillId="0" borderId="0" xfId="0" applyFont="1" applyBorder="1" applyAlignment="1">
      <alignment horizontal="right" vertical="center" wrapText="1"/>
    </xf>
    <xf numFmtId="164" fontId="29" fillId="0" borderId="0" xfId="0" applyFont="1" applyFill="1" applyBorder="1" applyAlignment="1">
      <alignment horizontal="right" vertical="center"/>
    </xf>
    <xf numFmtId="164" fontId="32" fillId="24" borderId="0" xfId="69" applyFont="1" applyFill="1" applyBorder="1" applyAlignment="1">
      <alignment horizontal="center" vertical="center" wrapText="1"/>
      <protection/>
    </xf>
    <xf numFmtId="169" fontId="26" fillId="0" borderId="0" xfId="0" applyNumberFormat="1" applyFont="1" applyFill="1" applyAlignment="1">
      <alignment horizontal="left" vertical="center"/>
    </xf>
    <xf numFmtId="166" fontId="28" fillId="0" borderId="10" xfId="0" applyNumberFormat="1" applyFont="1" applyFill="1" applyBorder="1" applyAlignment="1">
      <alignment horizontal="center" vertical="center"/>
    </xf>
    <xf numFmtId="169" fontId="30" fillId="0" borderId="10" xfId="79" applyNumberFormat="1" applyFont="1" applyFill="1" applyBorder="1" applyAlignment="1" applyProtection="1">
      <alignment horizontal="center" vertical="center" wrapText="1"/>
      <protection/>
    </xf>
    <xf numFmtId="169" fontId="30" fillId="0" borderId="13" xfId="79" applyNumberFormat="1" applyFont="1" applyFill="1" applyBorder="1" applyAlignment="1" applyProtection="1">
      <alignment horizontal="center" vertical="center" wrapText="1"/>
      <protection/>
    </xf>
    <xf numFmtId="169" fontId="30" fillId="0" borderId="0" xfId="80" applyNumberFormat="1" applyFont="1" applyFill="1" applyBorder="1" applyAlignment="1" applyProtection="1">
      <alignment horizontal="center" vertical="center" wrapText="1"/>
      <protection/>
    </xf>
    <xf numFmtId="169" fontId="30" fillId="25" borderId="10" xfId="79" applyNumberFormat="1" applyFont="1" applyFill="1" applyBorder="1" applyAlignment="1" applyProtection="1">
      <alignment horizontal="center" vertical="center" wrapText="1"/>
      <protection/>
    </xf>
    <xf numFmtId="169" fontId="30" fillId="25" borderId="13" xfId="79" applyNumberFormat="1" applyFont="1" applyFill="1" applyBorder="1" applyAlignment="1" applyProtection="1">
      <alignment horizontal="center" vertical="center" wrapText="1"/>
      <protection/>
    </xf>
    <xf numFmtId="169" fontId="30" fillId="24" borderId="0" xfId="0" applyNumberFormat="1" applyFont="1" applyFill="1" applyAlignment="1">
      <alignment horizontal="left" vertical="center"/>
    </xf>
    <xf numFmtId="164" fontId="31" fillId="0" borderId="10" xfId="79" applyNumberFormat="1" applyFont="1" applyFill="1" applyBorder="1" applyAlignment="1" applyProtection="1">
      <alignment horizontal="justify" vertical="top" wrapText="1"/>
      <protection/>
    </xf>
    <xf numFmtId="169" fontId="28" fillId="24" borderId="10" xfId="69" applyNumberFormat="1" applyFont="1" applyFill="1" applyBorder="1" applyAlignment="1">
      <alignment horizontal="center" vertical="center" wrapText="1"/>
      <protection/>
    </xf>
    <xf numFmtId="164" fontId="30" fillId="0" borderId="10" xfId="69" applyFont="1" applyFill="1" applyBorder="1" applyAlignment="1">
      <alignment horizontal="center" vertical="center" wrapText="1"/>
      <protection/>
    </xf>
    <xf numFmtId="169" fontId="28" fillId="0" borderId="12" xfId="79" applyNumberFormat="1" applyFont="1" applyFill="1" applyBorder="1" applyAlignment="1" applyProtection="1">
      <alignment horizontal="center" vertical="center" wrapText="1"/>
      <protection/>
    </xf>
    <xf numFmtId="164" fontId="28" fillId="0" borderId="14" xfId="79" applyNumberFormat="1" applyFont="1" applyFill="1" applyBorder="1" applyAlignment="1" applyProtection="1">
      <alignment horizontal="justify" vertical="top" wrapText="1"/>
      <protection/>
    </xf>
    <xf numFmtId="169" fontId="28" fillId="0" borderId="14" xfId="79" applyNumberFormat="1" applyFont="1" applyFill="1" applyBorder="1" applyAlignment="1" applyProtection="1">
      <alignment horizontal="center" vertical="center" wrapText="1"/>
      <protection/>
    </xf>
    <xf numFmtId="169" fontId="28" fillId="0" borderId="12" xfId="0" applyNumberFormat="1" applyFont="1" applyFill="1" applyBorder="1" applyAlignment="1">
      <alignment horizontal="center" vertical="center"/>
    </xf>
    <xf numFmtId="169" fontId="28" fillId="0" borderId="20" xfId="79" applyNumberFormat="1" applyFont="1" applyFill="1" applyBorder="1" applyAlignment="1" applyProtection="1">
      <alignment horizontal="center" vertical="center" wrapText="1"/>
      <protection/>
    </xf>
    <xf numFmtId="169" fontId="28" fillId="0" borderId="20" xfId="0" applyNumberFormat="1" applyFont="1" applyFill="1" applyBorder="1" applyAlignment="1">
      <alignment horizontal="center" vertical="center"/>
    </xf>
    <xf numFmtId="169" fontId="28" fillId="0" borderId="14" xfId="0" applyNumberFormat="1" applyFont="1" applyFill="1" applyBorder="1" applyAlignment="1">
      <alignment horizontal="center" vertical="center"/>
    </xf>
    <xf numFmtId="164" fontId="28" fillId="0" borderId="12" xfId="68" applyNumberFormat="1" applyFont="1" applyFill="1" applyBorder="1" applyAlignment="1">
      <alignment horizontal="justify" vertical="top" wrapText="1"/>
      <protection/>
    </xf>
    <xf numFmtId="169" fontId="28" fillId="24" borderId="10" xfId="79" applyNumberFormat="1" applyFont="1" applyFill="1" applyBorder="1" applyAlignment="1" applyProtection="1">
      <alignment horizontal="center" vertical="center" wrapText="1"/>
      <protection/>
    </xf>
    <xf numFmtId="169" fontId="28" fillId="24" borderId="10" xfId="0" applyNumberFormat="1" applyFont="1" applyFill="1" applyBorder="1" applyAlignment="1">
      <alignment horizontal="center" vertical="center"/>
    </xf>
    <xf numFmtId="169" fontId="28" fillId="24" borderId="0" xfId="0" applyNumberFormat="1" applyFont="1" applyFill="1" applyAlignment="1">
      <alignment horizontal="center" vertical="center"/>
    </xf>
    <xf numFmtId="169" fontId="28" fillId="24" borderId="10" xfId="80" applyNumberFormat="1" applyFont="1" applyFill="1" applyBorder="1" applyAlignment="1" applyProtection="1">
      <alignment horizontal="center" vertical="center" wrapText="1"/>
      <protection/>
    </xf>
    <xf numFmtId="169" fontId="28" fillId="24" borderId="0" xfId="0" applyNumberFormat="1" applyFont="1" applyFill="1" applyAlignment="1">
      <alignment vertical="center"/>
    </xf>
    <xf numFmtId="169" fontId="37" fillId="24" borderId="0" xfId="69" applyNumberFormat="1" applyFont="1" applyFill="1" applyAlignment="1">
      <alignment vertical="center" wrapText="1"/>
      <protection/>
    </xf>
    <xf numFmtId="169" fontId="29" fillId="24" borderId="0" xfId="0" applyNumberFormat="1" applyFont="1" applyFill="1" applyAlignment="1">
      <alignment vertical="center"/>
    </xf>
    <xf numFmtId="164" fontId="29" fillId="24" borderId="0" xfId="0" applyFont="1" applyFill="1" applyAlignment="1">
      <alignment vertical="center"/>
    </xf>
    <xf numFmtId="164" fontId="32" fillId="24" borderId="0" xfId="69" applyFont="1" applyFill="1" applyAlignment="1">
      <alignment horizontal="center" vertical="center" wrapText="1"/>
      <protection/>
    </xf>
    <xf numFmtId="171" fontId="38" fillId="24" borderId="0" xfId="69" applyNumberFormat="1" applyFont="1" applyFill="1" applyAlignment="1">
      <alignment horizontal="center" vertical="center" wrapText="1"/>
      <protection/>
    </xf>
    <xf numFmtId="164" fontId="31" fillId="24" borderId="10" xfId="69" applyNumberFormat="1" applyFont="1" applyFill="1" applyBorder="1" applyAlignment="1">
      <alignment horizontal="center" vertical="center" wrapText="1"/>
      <protection/>
    </xf>
    <xf numFmtId="164" fontId="28" fillId="24" borderId="10" xfId="68" applyFont="1" applyFill="1" applyBorder="1" applyAlignment="1">
      <alignment horizontal="center" vertical="center" wrapText="1"/>
      <protection/>
    </xf>
    <xf numFmtId="164" fontId="28" fillId="24" borderId="10" xfId="72" applyNumberFormat="1" applyFont="1" applyFill="1" applyBorder="1" applyAlignment="1">
      <alignment horizontal="center" vertical="center" wrapText="1"/>
      <protection/>
    </xf>
    <xf numFmtId="166" fontId="28" fillId="24" borderId="10" xfId="0" applyNumberFormat="1" applyFont="1" applyFill="1" applyBorder="1" applyAlignment="1">
      <alignment horizontal="center" vertical="center"/>
    </xf>
    <xf numFmtId="164" fontId="28" fillId="24" borderId="10" xfId="69" applyNumberFormat="1" applyFont="1" applyFill="1" applyBorder="1" applyAlignment="1">
      <alignment horizontal="center" vertical="center" wrapText="1"/>
      <protection/>
    </xf>
    <xf numFmtId="164" fontId="33" fillId="24" borderId="10" xfId="69" applyFont="1" applyFill="1" applyBorder="1" applyAlignment="1">
      <alignment vertical="center" wrapText="1"/>
      <protection/>
    </xf>
    <xf numFmtId="164" fontId="33" fillId="24" borderId="10" xfId="72" applyNumberFormat="1" applyFont="1" applyFill="1" applyBorder="1" applyAlignment="1">
      <alignment horizontal="left" vertical="center" wrapText="1"/>
      <protection/>
    </xf>
    <xf numFmtId="164" fontId="30" fillId="24" borderId="10" xfId="0" applyFont="1" applyFill="1" applyBorder="1" applyAlignment="1">
      <alignment horizontal="left" vertical="center" wrapText="1"/>
    </xf>
    <xf numFmtId="169" fontId="30" fillId="24" borderId="10" xfId="80" applyNumberFormat="1" applyFont="1" applyFill="1" applyBorder="1" applyAlignment="1" applyProtection="1">
      <alignment horizontal="center" vertical="center" wrapText="1"/>
      <protection/>
    </xf>
    <xf numFmtId="168" fontId="30" fillId="24" borderId="10" xfId="0" applyNumberFormat="1" applyFont="1" applyFill="1" applyBorder="1" applyAlignment="1">
      <alignment horizontal="left" vertical="center" wrapText="1"/>
    </xf>
    <xf numFmtId="164" fontId="33" fillId="24" borderId="10" xfId="69" applyFont="1" applyFill="1" applyBorder="1" applyAlignment="1">
      <alignment horizontal="left" vertical="center" wrapText="1"/>
      <protection/>
    </xf>
    <xf numFmtId="164" fontId="28" fillId="24" borderId="10" xfId="0" applyFont="1" applyFill="1" applyBorder="1" applyAlignment="1">
      <alignment horizontal="left" vertical="center" wrapText="1"/>
    </xf>
    <xf numFmtId="168" fontId="28" fillId="24" borderId="10" xfId="0" applyNumberFormat="1" applyFont="1" applyFill="1" applyBorder="1" applyAlignment="1">
      <alignment horizontal="left" vertical="center" wrapText="1"/>
    </xf>
    <xf numFmtId="164" fontId="31" fillId="24" borderId="10" xfId="80" applyNumberFormat="1" applyFont="1" applyFill="1" applyBorder="1" applyAlignment="1" applyProtection="1">
      <alignment horizontal="justify" vertical="top" wrapText="1"/>
      <protection/>
    </xf>
    <xf numFmtId="164" fontId="30" fillId="24" borderId="10" xfId="69" applyFont="1" applyFill="1" applyBorder="1" applyAlignment="1">
      <alignment horizontal="left" vertical="center" wrapText="1"/>
      <protection/>
    </xf>
    <xf numFmtId="164" fontId="32" fillId="24" borderId="10" xfId="72" applyNumberFormat="1" applyFont="1" applyFill="1" applyBorder="1" applyAlignment="1">
      <alignment vertical="center" wrapText="1"/>
      <protection/>
    </xf>
    <xf numFmtId="164" fontId="30" fillId="24" borderId="10" xfId="72" applyNumberFormat="1" applyFont="1" applyFill="1" applyBorder="1" applyAlignment="1">
      <alignment horizontal="left" vertical="center" wrapText="1"/>
      <protection/>
    </xf>
    <xf numFmtId="164" fontId="30" fillId="24" borderId="10" xfId="72" applyNumberFormat="1" applyFont="1" applyFill="1" applyBorder="1" applyAlignment="1">
      <alignment vertical="center" wrapText="1"/>
      <protection/>
    </xf>
    <xf numFmtId="169" fontId="29" fillId="0" borderId="0" xfId="0" applyNumberFormat="1" applyFont="1" applyFill="1" applyAlignment="1">
      <alignment vertical="center"/>
    </xf>
    <xf numFmtId="169" fontId="26" fillId="0" borderId="0" xfId="0" applyNumberFormat="1" applyFont="1" applyFill="1" applyAlignment="1">
      <alignment vertical="center"/>
    </xf>
    <xf numFmtId="164" fontId="30" fillId="0" borderId="10" xfId="0" applyFont="1" applyBorder="1" applyAlignment="1">
      <alignment horizontal="left" vertical="center" wrapText="1"/>
    </xf>
    <xf numFmtId="168" fontId="30" fillId="0" borderId="10" xfId="0" applyNumberFormat="1" applyFont="1" applyBorder="1" applyAlignment="1">
      <alignment horizontal="left" vertical="center" wrapText="1"/>
    </xf>
    <xf numFmtId="164" fontId="30" fillId="0" borderId="10" xfId="0" applyFont="1" applyFill="1" applyBorder="1" applyAlignment="1">
      <alignment horizontal="left" vertical="center" wrapText="1"/>
    </xf>
    <xf numFmtId="168" fontId="30" fillId="0" borderId="10" xfId="0" applyNumberFormat="1" applyFont="1" applyFill="1" applyBorder="1" applyAlignment="1">
      <alignment horizontal="left" vertical="center" wrapText="1"/>
    </xf>
    <xf numFmtId="164" fontId="28" fillId="0" borderId="10" xfId="0" applyFont="1" applyBorder="1" applyAlignment="1">
      <alignment horizontal="left" vertical="center" wrapText="1"/>
    </xf>
    <xf numFmtId="168" fontId="28" fillId="0" borderId="10" xfId="0" applyNumberFormat="1" applyFont="1" applyBorder="1" applyAlignment="1">
      <alignment horizontal="left" vertical="center" wrapText="1"/>
    </xf>
    <xf numFmtId="164" fontId="33" fillId="0" borderId="10" xfId="72" applyNumberFormat="1" applyFont="1" applyFill="1" applyBorder="1" applyAlignment="1">
      <alignment vertical="center" wrapText="1"/>
      <protection/>
    </xf>
    <xf numFmtId="164" fontId="30" fillId="0" borderId="10" xfId="72" applyNumberFormat="1" applyFont="1" applyFill="1" applyBorder="1" applyAlignment="1">
      <alignment vertical="center" wrapText="1"/>
      <protection/>
    </xf>
    <xf numFmtId="164" fontId="28" fillId="0" borderId="12" xfId="0" applyFont="1" applyBorder="1" applyAlignment="1">
      <alignment horizontal="left" vertical="center" wrapText="1"/>
    </xf>
    <xf numFmtId="169" fontId="28" fillId="0" borderId="10" xfId="0" applyNumberFormat="1" applyFont="1" applyFill="1" applyBorder="1" applyAlignment="1">
      <alignment vertical="center"/>
    </xf>
    <xf numFmtId="164" fontId="28" fillId="0" borderId="0" xfId="0" applyFont="1" applyBorder="1" applyAlignment="1">
      <alignment horizontal="left" vertical="center" wrapText="1"/>
    </xf>
    <xf numFmtId="169" fontId="28" fillId="0" borderId="0" xfId="79" applyNumberFormat="1" applyFont="1" applyFill="1" applyBorder="1" applyAlignment="1" applyProtection="1">
      <alignment horizontal="center" vertical="center" wrapText="1"/>
      <protection/>
    </xf>
    <xf numFmtId="169" fontId="21" fillId="0" borderId="0" xfId="79" applyNumberFormat="1" applyFont="1" applyFill="1" applyBorder="1" applyAlignment="1" applyProtection="1">
      <alignment horizontal="right" vertical="center" wrapText="1"/>
      <protection/>
    </xf>
    <xf numFmtId="169" fontId="28" fillId="0" borderId="0" xfId="0" applyNumberFormat="1" applyFont="1" applyFill="1" applyBorder="1" applyAlignment="1">
      <alignment vertical="center"/>
    </xf>
    <xf numFmtId="164" fontId="28" fillId="0" borderId="0" xfId="0" applyFont="1" applyFill="1" applyBorder="1" applyAlignment="1">
      <alignment vertical="center"/>
    </xf>
    <xf numFmtId="164" fontId="28" fillId="0" borderId="0" xfId="0" applyFont="1" applyAlignment="1">
      <alignment vertical="center"/>
    </xf>
    <xf numFmtId="164" fontId="31" fillId="0" borderId="0" xfId="0" applyFont="1" applyAlignment="1">
      <alignment vertical="center"/>
    </xf>
    <xf numFmtId="164" fontId="26" fillId="0" borderId="0" xfId="0" applyFont="1" applyBorder="1" applyAlignment="1">
      <alignment horizontal="center" vertical="center" wrapText="1"/>
    </xf>
    <xf numFmtId="164" fontId="30" fillId="0" borderId="10" xfId="0" applyFont="1" applyFill="1" applyBorder="1" applyAlignment="1">
      <alignment vertical="top"/>
    </xf>
    <xf numFmtId="164" fontId="30" fillId="0" borderId="10" xfId="0" applyFont="1" applyFill="1" applyBorder="1" applyAlignment="1">
      <alignment vertical="center"/>
    </xf>
    <xf numFmtId="169" fontId="30" fillId="0" borderId="10" xfId="69" applyNumberFormat="1" applyFont="1" applyFill="1" applyBorder="1" applyAlignment="1">
      <alignment horizontal="center" vertical="center"/>
      <protection/>
    </xf>
    <xf numFmtId="164" fontId="40" fillId="0" borderId="10" xfId="0" applyFont="1" applyBorder="1" applyAlignment="1">
      <alignment vertical="top" wrapText="1"/>
    </xf>
    <xf numFmtId="164" fontId="28" fillId="0" borderId="10" xfId="0" applyFont="1" applyBorder="1" applyAlignment="1">
      <alignment vertical="center"/>
    </xf>
    <xf numFmtId="169" fontId="28" fillId="0" borderId="10" xfId="69" applyNumberFormat="1" applyFont="1" applyBorder="1" applyAlignment="1">
      <alignment horizontal="center" vertical="center"/>
      <protection/>
    </xf>
    <xf numFmtId="168" fontId="40" fillId="0" borderId="10" xfId="0" applyNumberFormat="1" applyFont="1" applyBorder="1" applyAlignment="1">
      <alignment vertical="top" wrapText="1"/>
    </xf>
    <xf numFmtId="164" fontId="30" fillId="0" borderId="10" xfId="0" applyFont="1" applyBorder="1" applyAlignment="1">
      <alignment horizontal="center" vertical="center"/>
    </xf>
    <xf numFmtId="169" fontId="28" fillId="0" borderId="10" xfId="0" applyNumberFormat="1" applyFont="1" applyBorder="1" applyAlignment="1">
      <alignment horizontal="center" vertical="center"/>
    </xf>
    <xf numFmtId="164" fontId="28" fillId="0" borderId="0" xfId="0" applyFont="1" applyAlignment="1">
      <alignment horizontal="center" vertical="center"/>
    </xf>
    <xf numFmtId="164" fontId="30" fillId="24" borderId="10" xfId="0" applyFont="1" applyFill="1" applyBorder="1" applyAlignment="1">
      <alignment vertical="top" wrapText="1"/>
    </xf>
    <xf numFmtId="164" fontId="28" fillId="0" borderId="10" xfId="0" applyFont="1" applyBorder="1" applyAlignment="1">
      <alignment vertical="top" wrapText="1"/>
    </xf>
    <xf numFmtId="169" fontId="30" fillId="0" borderId="10" xfId="69" applyNumberFormat="1" applyFont="1" applyBorder="1" applyAlignment="1" applyProtection="1">
      <alignment horizontal="center" vertical="center"/>
      <protection locked="0"/>
    </xf>
    <xf numFmtId="169" fontId="30" fillId="0" borderId="10" xfId="69" applyNumberFormat="1" applyFont="1" applyBorder="1" applyAlignment="1">
      <alignment horizontal="center" vertical="center"/>
      <protection/>
    </xf>
    <xf numFmtId="169" fontId="28" fillId="0" borderId="10" xfId="69" applyNumberFormat="1" applyFont="1" applyBorder="1" applyAlignment="1" applyProtection="1">
      <alignment horizontal="center" vertical="center"/>
      <protection locked="0"/>
    </xf>
    <xf numFmtId="164" fontId="28" fillId="0" borderId="10" xfId="71" applyFont="1" applyFill="1" applyBorder="1" applyAlignment="1">
      <alignment vertical="top" wrapText="1"/>
      <protection/>
    </xf>
    <xf numFmtId="164" fontId="40" fillId="0" borderId="10" xfId="71" applyFont="1" applyFill="1" applyBorder="1" applyAlignment="1">
      <alignment vertical="top" wrapText="1"/>
      <protection/>
    </xf>
    <xf numFmtId="164" fontId="30" fillId="0" borderId="0" xfId="0" applyFont="1" applyAlignment="1">
      <alignment vertical="center"/>
    </xf>
    <xf numFmtId="164" fontId="28" fillId="0" borderId="0" xfId="0" applyFont="1" applyAlignment="1">
      <alignment horizontal="right" vertical="center"/>
    </xf>
    <xf numFmtId="164" fontId="0" fillId="0" borderId="10" xfId="0" applyBorder="1" applyAlignment="1">
      <alignment/>
    </xf>
    <xf numFmtId="164" fontId="41" fillId="0" borderId="10" xfId="0" applyFont="1" applyBorder="1" applyAlignment="1">
      <alignment/>
    </xf>
    <xf numFmtId="164" fontId="0" fillId="0" borderId="10" xfId="0" applyFont="1" applyBorder="1" applyAlignment="1">
      <alignment wrapText="1"/>
    </xf>
    <xf numFmtId="164" fontId="41" fillId="0" borderId="10" xfId="0" applyFont="1" applyBorder="1" applyAlignment="1">
      <alignment wrapText="1"/>
    </xf>
    <xf numFmtId="170" fontId="41" fillId="0" borderId="10" xfId="0" applyNumberFormat="1" applyFont="1" applyBorder="1" applyAlignment="1">
      <alignment/>
    </xf>
    <xf numFmtId="171" fontId="41" fillId="0" borderId="10" xfId="0" applyNumberFormat="1" applyFont="1" applyBorder="1" applyAlignment="1">
      <alignment/>
    </xf>
  </cellXfs>
  <cellStyles count="68">
    <cellStyle name="Normal" xfId="0"/>
    <cellStyle name="Comma" xfId="15"/>
    <cellStyle name="Comma [0]" xfId="16"/>
    <cellStyle name="Currency" xfId="17"/>
    <cellStyle name="Currency [0]" xfId="18"/>
    <cellStyle name="Percent" xfId="19"/>
    <cellStyle name="20% - Акцент1 2" xfId="20"/>
    <cellStyle name="20% - Акцент1 2 2" xfId="21"/>
    <cellStyle name="20% - Акцент2 2" xfId="22"/>
    <cellStyle name="20% - Акцент2 2 2" xfId="23"/>
    <cellStyle name="20% - Акцент3 2" xfId="24"/>
    <cellStyle name="20% - Акцент3 2 2" xfId="25"/>
    <cellStyle name="20% - Акцент4 2" xfId="26"/>
    <cellStyle name="20% - Акцент4 2 2" xfId="27"/>
    <cellStyle name="20% - Акцент5 2" xfId="28"/>
    <cellStyle name="20% - Акцент5 2 2" xfId="29"/>
    <cellStyle name="20% - Акцент6 2" xfId="30"/>
    <cellStyle name="20% - Акцент6 2 2" xfId="31"/>
    <cellStyle name="40% - Акцент1 2" xfId="32"/>
    <cellStyle name="40% - Акцент1 2 2" xfId="33"/>
    <cellStyle name="40% - Акцент2 2" xfId="34"/>
    <cellStyle name="40% - Акцент2 2 2" xfId="35"/>
    <cellStyle name="40% - Акцент3 2" xfId="36"/>
    <cellStyle name="40% - Акцент3 2 2" xfId="37"/>
    <cellStyle name="40% - Акцент4 2" xfId="38"/>
    <cellStyle name="40% - Акцент4 2 2" xfId="39"/>
    <cellStyle name="40% - Акцент5 2" xfId="40"/>
    <cellStyle name="40% - Акцент5 2 2" xfId="41"/>
    <cellStyle name="40% - Акцент6 2" xfId="42"/>
    <cellStyle name="40% - Акцент6 2 2" xfId="43"/>
    <cellStyle name="60% - Акцент1 2" xfId="44"/>
    <cellStyle name="60% - Акцент2 2" xfId="45"/>
    <cellStyle name="60% - Акцент3 2" xfId="46"/>
    <cellStyle name="60% - Акцент4 2" xfId="47"/>
    <cellStyle name="60% - Акцент5 2" xfId="48"/>
    <cellStyle name="60% - Акцент6 2" xfId="49"/>
    <cellStyle name="Акцент1 2" xfId="50"/>
    <cellStyle name="Акцент2 2" xfId="51"/>
    <cellStyle name="Акцент3 2" xfId="52"/>
    <cellStyle name="Акцент4 2" xfId="53"/>
    <cellStyle name="Акцент5 2" xfId="54"/>
    <cellStyle name="Акцент6 2" xfId="55"/>
    <cellStyle name="Ввод  2" xfId="56"/>
    <cellStyle name="Вывод 2" xfId="57"/>
    <cellStyle name="Вычисление 2" xfId="58"/>
    <cellStyle name="Заголовок 1 2" xfId="59"/>
    <cellStyle name="Заголовок 2 2" xfId="60"/>
    <cellStyle name="Заголовок 3 2" xfId="61"/>
    <cellStyle name="Заголовок 4 2" xfId="62"/>
    <cellStyle name="Итог 2" xfId="63"/>
    <cellStyle name="Контрольная ячейка 2" xfId="64"/>
    <cellStyle name="Название 2" xfId="65"/>
    <cellStyle name="Нейтральный 2" xfId="66"/>
    <cellStyle name="Обычный 2" xfId="67"/>
    <cellStyle name="Обычный 2 2" xfId="68"/>
    <cellStyle name="Обычный 3" xfId="69"/>
    <cellStyle name="Обычный 3 2" xfId="70"/>
    <cellStyle name="Обычный_Капстрой" xfId="71"/>
    <cellStyle name="Обычный_Лист4" xfId="72"/>
    <cellStyle name="Плохой 2" xfId="73"/>
    <cellStyle name="Пояснение 2" xfId="74"/>
    <cellStyle name="Примечание 2" xfId="75"/>
    <cellStyle name="Связанная ячейка 2" xfId="76"/>
    <cellStyle name="Текст предупреждения 2" xfId="77"/>
    <cellStyle name="Финансовый 2" xfId="78"/>
    <cellStyle name="Финансовый 2 2" xfId="79"/>
    <cellStyle name="Финансовый 2 2 2" xfId="80"/>
    <cellStyle name="Хороший 2"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58;&#1042;&#1052;&#1072;&#1081;&#1082;&#1086;&#1074;&#1072;\Local%20Settings\Temporary%20Internet%20Files\OLK2\&#1055;&#1088;&#1080;&#1083;&#1086;&#1078;&#1077;&#1085;&#1080;&#1103;%20&#1082;%20&#1087;&#1088;&#1086;&#1075;&#1088;&#1072;&#1084;&#1084;&#1077;%20(24%201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 6"/>
      <sheetName val="Таблица 7"/>
    </sheetNames>
    <sheetDataSet>
      <sheetData sheetId="0">
        <row r="8">
          <cell r="D8">
            <v>8960854.21797</v>
          </cell>
          <cell r="E8">
            <v>9895852.81</v>
          </cell>
          <cell r="F8">
            <v>10097087.539999997</v>
          </cell>
          <cell r="G8">
            <v>10727266.62</v>
          </cell>
          <cell r="M8">
            <v>1298731.952</v>
          </cell>
          <cell r="N8">
            <v>1793743.7000000002</v>
          </cell>
          <cell r="O8">
            <v>1879751.9000000001</v>
          </cell>
          <cell r="P8">
            <v>1937963.5000000002</v>
          </cell>
        </row>
        <row r="19">
          <cell r="D19">
            <v>2681494.40389</v>
          </cell>
          <cell r="E19">
            <v>2882209.9</v>
          </cell>
          <cell r="F19">
            <v>3041693.8</v>
          </cell>
          <cell r="G19">
            <v>3202131.5</v>
          </cell>
        </row>
        <row r="20">
          <cell r="D20">
            <v>2001.2</v>
          </cell>
          <cell r="E20">
            <v>2001.2</v>
          </cell>
          <cell r="F20">
            <v>2001.2</v>
          </cell>
          <cell r="G20">
            <v>2001.2</v>
          </cell>
        </row>
        <row r="21">
          <cell r="D21">
            <v>718682.8</v>
          </cell>
          <cell r="E21">
            <v>936491.7</v>
          </cell>
          <cell r="F21">
            <v>973091.1</v>
          </cell>
          <cell r="G21">
            <v>982139.3</v>
          </cell>
        </row>
        <row r="22">
          <cell r="D22">
            <v>175244.2</v>
          </cell>
          <cell r="E22">
            <v>189669.2</v>
          </cell>
          <cell r="F22">
            <v>189669.2</v>
          </cell>
          <cell r="G22">
            <v>189669.2</v>
          </cell>
        </row>
        <row r="23">
          <cell r="D23">
            <v>177034.96</v>
          </cell>
          <cell r="E23">
            <v>185589.4</v>
          </cell>
          <cell r="F23">
            <v>185659.9</v>
          </cell>
          <cell r="G23">
            <v>185731.4</v>
          </cell>
        </row>
        <row r="24">
          <cell r="D24">
            <v>9134.024</v>
          </cell>
          <cell r="E24">
            <v>9215</v>
          </cell>
          <cell r="F24">
            <v>9215</v>
          </cell>
          <cell r="G24">
            <v>9215</v>
          </cell>
        </row>
        <row r="25">
          <cell r="D25">
            <v>49365.3</v>
          </cell>
          <cell r="E25">
            <v>50663.1</v>
          </cell>
          <cell r="F25">
            <v>53680.7</v>
          </cell>
          <cell r="G25">
            <v>56623.8</v>
          </cell>
        </row>
        <row r="26">
          <cell r="D26">
            <v>87700</v>
          </cell>
          <cell r="E26">
            <v>80500</v>
          </cell>
          <cell r="F26">
            <v>80500</v>
          </cell>
          <cell r="G26">
            <v>80500</v>
          </cell>
        </row>
        <row r="27">
          <cell r="D27">
            <v>11916.6</v>
          </cell>
          <cell r="E27">
            <v>11853</v>
          </cell>
          <cell r="F27">
            <v>11853</v>
          </cell>
          <cell r="G27">
            <v>11853</v>
          </cell>
        </row>
        <row r="28">
          <cell r="D28">
            <v>5240.7</v>
          </cell>
          <cell r="E28">
            <v>5275.7</v>
          </cell>
          <cell r="F28">
            <v>5275.7</v>
          </cell>
          <cell r="G28">
            <v>5275.7</v>
          </cell>
        </row>
        <row r="29">
          <cell r="D29">
            <v>501.2</v>
          </cell>
          <cell r="E29">
            <v>501.2</v>
          </cell>
          <cell r="F29">
            <v>501.2</v>
          </cell>
          <cell r="G29">
            <v>501.2</v>
          </cell>
        </row>
        <row r="30">
          <cell r="D30">
            <v>20</v>
          </cell>
          <cell r="E30">
            <v>20</v>
          </cell>
          <cell r="F30">
            <v>20</v>
          </cell>
          <cell r="G30">
            <v>20</v>
          </cell>
        </row>
        <row r="31">
          <cell r="D31">
            <v>9407.9</v>
          </cell>
          <cell r="E31">
            <v>9275</v>
          </cell>
          <cell r="F31">
            <v>9275</v>
          </cell>
          <cell r="G31">
            <v>9275</v>
          </cell>
        </row>
        <row r="32">
          <cell r="D32">
            <v>1989.4</v>
          </cell>
          <cell r="E32">
            <v>1989.4</v>
          </cell>
          <cell r="F32">
            <v>1989.4</v>
          </cell>
          <cell r="G32">
            <v>1989.4</v>
          </cell>
        </row>
        <row r="33">
          <cell r="D33">
            <v>170</v>
          </cell>
          <cell r="E33">
            <v>290</v>
          </cell>
          <cell r="F33">
            <v>290</v>
          </cell>
          <cell r="G33">
            <v>290</v>
          </cell>
        </row>
        <row r="34">
          <cell r="D34">
            <v>88</v>
          </cell>
          <cell r="E34">
            <v>88</v>
          </cell>
          <cell r="F34">
            <v>88</v>
          </cell>
          <cell r="G34">
            <v>88</v>
          </cell>
        </row>
        <row r="35">
          <cell r="D35">
            <v>57203.3</v>
          </cell>
          <cell r="E35">
            <v>62198.4</v>
          </cell>
          <cell r="F35">
            <v>65370</v>
          </cell>
          <cell r="G35">
            <v>68703.5</v>
          </cell>
        </row>
        <row r="36">
          <cell r="D36">
            <v>72.6</v>
          </cell>
          <cell r="E36">
            <v>72.6</v>
          </cell>
          <cell r="F36">
            <v>72.6</v>
          </cell>
          <cell r="G36">
            <v>72.6</v>
          </cell>
        </row>
        <row r="37">
          <cell r="D37">
            <v>38730.4</v>
          </cell>
          <cell r="E37">
            <v>45936.8</v>
          </cell>
          <cell r="F37">
            <v>47745.3</v>
          </cell>
          <cell r="G37">
            <v>49571.3</v>
          </cell>
        </row>
        <row r="38">
          <cell r="D38">
            <v>893.2</v>
          </cell>
          <cell r="E38">
            <v>893.2</v>
          </cell>
          <cell r="F38">
            <v>893.2</v>
          </cell>
          <cell r="G38">
            <v>893.2</v>
          </cell>
        </row>
        <row r="39">
          <cell r="D39">
            <v>208720.6</v>
          </cell>
          <cell r="E39">
            <v>234627.4</v>
          </cell>
          <cell r="F39">
            <v>234627.4</v>
          </cell>
          <cell r="G39">
            <v>234627.4</v>
          </cell>
        </row>
        <row r="40">
          <cell r="D40">
            <v>362066.4</v>
          </cell>
          <cell r="E40">
            <v>377255.9</v>
          </cell>
          <cell r="F40">
            <v>398533.1</v>
          </cell>
          <cell r="G40">
            <v>419282.8</v>
          </cell>
        </row>
        <row r="41">
          <cell r="D41">
            <v>19909.1</v>
          </cell>
          <cell r="E41">
            <v>19788.6</v>
          </cell>
          <cell r="F41">
            <v>20966.5</v>
          </cell>
          <cell r="G41">
            <v>22115.3</v>
          </cell>
        </row>
        <row r="42">
          <cell r="D42">
            <v>2154.4</v>
          </cell>
          <cell r="E42">
            <v>2181.8</v>
          </cell>
          <cell r="F42">
            <v>2181.8</v>
          </cell>
          <cell r="G42">
            <v>2181.8</v>
          </cell>
        </row>
        <row r="43">
          <cell r="D43">
            <v>8977.7</v>
          </cell>
          <cell r="E43">
            <v>11096.3</v>
          </cell>
          <cell r="F43">
            <v>12167</v>
          </cell>
          <cell r="G43">
            <v>12911.6</v>
          </cell>
        </row>
        <row r="44">
          <cell r="D44">
            <v>479</v>
          </cell>
          <cell r="E44">
            <v>479</v>
          </cell>
          <cell r="F44">
            <v>479</v>
          </cell>
          <cell r="G44">
            <v>479</v>
          </cell>
        </row>
        <row r="45">
          <cell r="D45">
            <v>0</v>
          </cell>
          <cell r="E45">
            <v>475</v>
          </cell>
          <cell r="F45">
            <v>475</v>
          </cell>
          <cell r="G45">
            <v>475</v>
          </cell>
        </row>
        <row r="46">
          <cell r="D46">
            <v>0</v>
          </cell>
          <cell r="E46">
            <v>200</v>
          </cell>
          <cell r="F46">
            <v>200</v>
          </cell>
          <cell r="G46">
            <v>200</v>
          </cell>
        </row>
        <row r="47">
          <cell r="D47">
            <v>104.451</v>
          </cell>
          <cell r="E47">
            <v>0</v>
          </cell>
          <cell r="F47">
            <v>0</v>
          </cell>
          <cell r="G47">
            <v>0</v>
          </cell>
        </row>
        <row r="48">
          <cell r="D48">
            <v>0</v>
          </cell>
          <cell r="E48">
            <v>332198</v>
          </cell>
          <cell r="F48">
            <v>347223.8</v>
          </cell>
          <cell r="G48">
            <v>362650.2</v>
          </cell>
        </row>
        <row r="50">
          <cell r="D50">
            <v>47126.6</v>
          </cell>
          <cell r="E50">
            <v>40950.6</v>
          </cell>
          <cell r="F50">
            <v>40945.1</v>
          </cell>
          <cell r="G50">
            <v>40938.7</v>
          </cell>
        </row>
        <row r="51">
          <cell r="D51">
            <v>246117.6</v>
          </cell>
          <cell r="E51">
            <v>144027.2</v>
          </cell>
          <cell r="F51">
            <v>150133.5</v>
          </cell>
          <cell r="G51">
            <v>152130.2</v>
          </cell>
        </row>
        <row r="52">
          <cell r="D52">
            <v>52455.5</v>
          </cell>
          <cell r="E52">
            <v>38127.2</v>
          </cell>
          <cell r="F52">
            <v>39933.5</v>
          </cell>
          <cell r="G52">
            <v>41930.2</v>
          </cell>
        </row>
        <row r="53">
          <cell r="D53">
            <v>0</v>
          </cell>
          <cell r="E53">
            <v>100000</v>
          </cell>
          <cell r="F53">
            <v>0</v>
          </cell>
          <cell r="G53">
            <v>0</v>
          </cell>
        </row>
        <row r="54">
          <cell r="D54">
            <v>36000</v>
          </cell>
          <cell r="E54">
            <v>0</v>
          </cell>
          <cell r="F54">
            <v>0</v>
          </cell>
          <cell r="G54">
            <v>0</v>
          </cell>
        </row>
        <row r="55">
          <cell r="D55">
            <v>80160.101</v>
          </cell>
          <cell r="E55">
            <v>0</v>
          </cell>
          <cell r="F55">
            <v>0</v>
          </cell>
          <cell r="G55">
            <v>0</v>
          </cell>
        </row>
        <row r="57">
          <cell r="D57">
            <v>31348</v>
          </cell>
          <cell r="E57">
            <v>32375.5</v>
          </cell>
          <cell r="F57">
            <v>33521.6</v>
          </cell>
          <cell r="G57">
            <v>34639.7</v>
          </cell>
        </row>
        <row r="58">
          <cell r="D58">
            <v>52756.7</v>
          </cell>
          <cell r="E58">
            <v>54443.7</v>
          </cell>
          <cell r="F58">
            <v>57686.4</v>
          </cell>
          <cell r="G58">
            <v>60849</v>
          </cell>
        </row>
        <row r="59">
          <cell r="D59">
            <v>206630.4</v>
          </cell>
          <cell r="E59">
            <v>183262.7</v>
          </cell>
          <cell r="F59">
            <v>199176.26</v>
          </cell>
          <cell r="G59">
            <v>210096.09</v>
          </cell>
        </row>
        <row r="60">
          <cell r="D60">
            <v>6788</v>
          </cell>
          <cell r="E60">
            <v>0</v>
          </cell>
          <cell r="F60">
            <v>0</v>
          </cell>
          <cell r="G60">
            <v>0</v>
          </cell>
        </row>
        <row r="61">
          <cell r="D61">
            <v>627782.5</v>
          </cell>
          <cell r="E61">
            <v>664843.5</v>
          </cell>
          <cell r="F61">
            <v>700854.3</v>
          </cell>
          <cell r="G61">
            <v>737464.3</v>
          </cell>
        </row>
        <row r="62">
          <cell r="D62">
            <v>378746.5</v>
          </cell>
          <cell r="E62">
            <v>379938.3</v>
          </cell>
          <cell r="F62">
            <v>402567.6</v>
          </cell>
          <cell r="G62">
            <v>424638.3</v>
          </cell>
        </row>
        <row r="63">
          <cell r="D63">
            <v>284059.9</v>
          </cell>
          <cell r="E63">
            <v>287995.3</v>
          </cell>
          <cell r="F63">
            <v>305236</v>
          </cell>
          <cell r="G63">
            <v>321893</v>
          </cell>
        </row>
        <row r="64">
          <cell r="D64">
            <v>50</v>
          </cell>
          <cell r="E64">
            <v>50</v>
          </cell>
          <cell r="F64">
            <v>50</v>
          </cell>
          <cell r="G64">
            <v>50</v>
          </cell>
        </row>
        <row r="65">
          <cell r="D65">
            <v>436.5</v>
          </cell>
          <cell r="E65">
            <v>0</v>
          </cell>
          <cell r="F65">
            <v>0</v>
          </cell>
          <cell r="G65">
            <v>0</v>
          </cell>
        </row>
        <row r="66">
          <cell r="D66">
            <v>0</v>
          </cell>
          <cell r="E66">
            <v>72991</v>
          </cell>
          <cell r="F66">
            <v>107937.6</v>
          </cell>
          <cell r="G66">
            <v>145026</v>
          </cell>
        </row>
        <row r="67">
          <cell r="D67">
            <v>0</v>
          </cell>
          <cell r="E67">
            <v>38174.3</v>
          </cell>
          <cell r="F67">
            <v>47444.2</v>
          </cell>
          <cell r="G67">
            <v>56629.8</v>
          </cell>
        </row>
        <row r="82">
          <cell r="D82">
            <v>10492</v>
          </cell>
          <cell r="E82">
            <v>100000</v>
          </cell>
          <cell r="F82">
            <v>0</v>
          </cell>
          <cell r="G82">
            <v>370296</v>
          </cell>
        </row>
        <row r="86">
          <cell r="D86">
            <v>225073.53208</v>
          </cell>
          <cell r="E86">
            <v>148140.4</v>
          </cell>
          <cell r="F86">
            <v>120924.8</v>
          </cell>
          <cell r="G86">
            <v>30924.8</v>
          </cell>
        </row>
        <row r="87">
          <cell r="D87">
            <v>2353.9</v>
          </cell>
          <cell r="E87">
            <v>0</v>
          </cell>
          <cell r="F87">
            <v>0</v>
          </cell>
          <cell r="G87">
            <v>0</v>
          </cell>
        </row>
        <row r="89">
          <cell r="D89">
            <v>2197598.751</v>
          </cell>
          <cell r="E89">
            <v>2314108</v>
          </cell>
          <cell r="F89">
            <v>2332488.3</v>
          </cell>
          <cell r="G89">
            <v>2350950.9</v>
          </cell>
        </row>
        <row r="91">
          <cell r="D91">
            <v>520.8</v>
          </cell>
          <cell r="E91">
            <v>247.3</v>
          </cell>
          <cell r="F91">
            <v>27.3</v>
          </cell>
          <cell r="G91">
            <v>27.3</v>
          </cell>
        </row>
        <row r="92">
          <cell r="D92">
            <v>493.5</v>
          </cell>
          <cell r="E92">
            <v>0</v>
          </cell>
          <cell r="F92">
            <v>0</v>
          </cell>
          <cell r="G92">
            <v>0</v>
          </cell>
        </row>
        <row r="93">
          <cell r="D93">
            <v>147.5</v>
          </cell>
          <cell r="E93">
            <v>147.5</v>
          </cell>
          <cell r="F93">
            <v>147.5</v>
          </cell>
          <cell r="G93">
            <v>147.5</v>
          </cell>
        </row>
        <row r="94">
          <cell r="D94">
            <v>0</v>
          </cell>
          <cell r="E94">
            <v>414.5</v>
          </cell>
          <cell r="F94">
            <v>435.3</v>
          </cell>
          <cell r="G94">
            <v>435.3</v>
          </cell>
        </row>
        <row r="99">
          <cell r="D99">
            <v>5424.1</v>
          </cell>
          <cell r="E99">
            <v>5590.9</v>
          </cell>
          <cell r="F99">
            <v>5881.2</v>
          </cell>
          <cell r="G99">
            <v>5881.2</v>
          </cell>
        </row>
        <row r="102">
          <cell r="D102">
            <v>39858.5</v>
          </cell>
          <cell r="E102">
            <v>41755.2</v>
          </cell>
          <cell r="F102">
            <v>44242.2</v>
          </cell>
          <cell r="G102">
            <v>46667.8</v>
          </cell>
        </row>
        <row r="103">
          <cell r="D103">
            <v>998.7</v>
          </cell>
          <cell r="E103">
            <v>0</v>
          </cell>
          <cell r="F103">
            <v>0</v>
          </cell>
          <cell r="G103">
            <v>0</v>
          </cell>
        </row>
        <row r="105">
          <cell r="D105">
            <v>8785.5</v>
          </cell>
          <cell r="E105">
            <v>8785.5</v>
          </cell>
          <cell r="F105">
            <v>8785.5</v>
          </cell>
          <cell r="G105">
            <v>8785.5</v>
          </cell>
        </row>
        <row r="106">
          <cell r="D106">
            <v>0</v>
          </cell>
          <cell r="E106">
            <v>5000</v>
          </cell>
          <cell r="F106">
            <v>6000</v>
          </cell>
          <cell r="G106">
            <v>6000</v>
          </cell>
        </row>
        <row r="107">
          <cell r="D107">
            <v>0</v>
          </cell>
          <cell r="E107">
            <v>14496</v>
          </cell>
          <cell r="F107">
            <v>57985</v>
          </cell>
          <cell r="G107">
            <v>57985</v>
          </cell>
        </row>
        <row r="110">
          <cell r="D110">
            <v>104686.02815</v>
          </cell>
          <cell r="E110">
            <v>105313.88</v>
          </cell>
          <cell r="F110">
            <v>105565.65</v>
          </cell>
          <cell r="G110">
            <v>105813.6</v>
          </cell>
        </row>
        <row r="111">
          <cell r="D111">
            <v>21648.566850000003</v>
          </cell>
          <cell r="E111">
            <v>19895.53</v>
          </cell>
          <cell r="F111">
            <v>19953.73</v>
          </cell>
          <cell r="G111">
            <v>20011.23</v>
          </cell>
        </row>
        <row r="112">
          <cell r="D112">
            <v>5724.6</v>
          </cell>
          <cell r="E112">
            <v>4975.7</v>
          </cell>
          <cell r="F112">
            <v>4975.7</v>
          </cell>
          <cell r="G112">
            <v>4975.7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8"/>
  <sheetViews>
    <sheetView workbookViewId="0" topLeftCell="A61">
      <selection activeCell="B66" sqref="B66"/>
    </sheetView>
  </sheetViews>
  <sheetFormatPr defaultColWidth="9.00390625" defaultRowHeight="12.75"/>
  <cols>
    <col min="1" max="1" width="4.75390625" style="1" customWidth="1"/>
    <col min="2" max="2" width="48.875" style="1" customWidth="1"/>
    <col min="3" max="3" width="9.125" style="1" customWidth="1"/>
    <col min="4" max="4" width="8.875" style="1" customWidth="1"/>
    <col min="5" max="5" width="8.375" style="1" customWidth="1"/>
    <col min="6" max="6" width="8.875" style="1" customWidth="1"/>
    <col min="7" max="7" width="8.375" style="1" customWidth="1"/>
    <col min="8" max="8" width="8.50390625" style="1" customWidth="1"/>
    <col min="9" max="9" width="8.125" style="1" customWidth="1"/>
    <col min="10" max="10" width="9.125" style="1" customWidth="1"/>
    <col min="11" max="11" width="8.50390625" style="1" customWidth="1"/>
    <col min="12" max="12" width="8.875" style="1" customWidth="1"/>
    <col min="13" max="13" width="26.375" style="1" customWidth="1"/>
    <col min="14" max="16384" width="9.125" style="1" customWidth="1"/>
  </cols>
  <sheetData>
    <row r="1" spans="7:12" ht="18" customHeight="1">
      <c r="G1" s="2"/>
      <c r="H1" s="2"/>
      <c r="I1" s="2"/>
      <c r="J1" s="2"/>
      <c r="K1" s="2"/>
      <c r="L1" s="2"/>
    </row>
    <row r="2" spans="3:12" ht="18" customHeight="1">
      <c r="C2" s="3" t="s">
        <v>0</v>
      </c>
      <c r="D2" s="3"/>
      <c r="E2" s="3"/>
      <c r="F2" s="3"/>
      <c r="G2" s="3"/>
      <c r="H2" s="3"/>
      <c r="I2" s="3"/>
      <c r="J2" s="3"/>
      <c r="K2" s="3"/>
      <c r="L2" s="3"/>
    </row>
    <row r="3" spans="2:12" ht="20.25" customHeight="1">
      <c r="B3" s="3" t="s">
        <v>1</v>
      </c>
      <c r="C3" s="3"/>
      <c r="D3" s="3"/>
      <c r="E3" s="3"/>
      <c r="F3" s="3"/>
      <c r="G3" s="3"/>
      <c r="H3" s="3"/>
      <c r="I3" s="3"/>
      <c r="J3" s="3"/>
      <c r="K3" s="3"/>
      <c r="L3" s="3"/>
    </row>
    <row r="4" spans="3:12" ht="18" customHeight="1">
      <c r="C4" s="3" t="s">
        <v>2</v>
      </c>
      <c r="D4" s="3"/>
      <c r="E4" s="3"/>
      <c r="F4" s="3"/>
      <c r="G4" s="3"/>
      <c r="H4" s="3"/>
      <c r="I4" s="3"/>
      <c r="J4" s="3"/>
      <c r="K4" s="3"/>
      <c r="L4" s="3"/>
    </row>
    <row r="5" spans="5:12" ht="18" customHeight="1">
      <c r="E5" s="4"/>
      <c r="F5" s="2" t="s">
        <v>3</v>
      </c>
      <c r="G5" s="2"/>
      <c r="H5" s="2"/>
      <c r="I5" s="2"/>
      <c r="J5" s="2"/>
      <c r="K5" s="2"/>
      <c r="L5" s="2"/>
    </row>
    <row r="6" spans="5:12" ht="12.75" customHeight="1">
      <c r="E6" s="4"/>
      <c r="F6" s="2"/>
      <c r="G6" s="2"/>
      <c r="H6" s="2"/>
      <c r="I6" s="2"/>
      <c r="J6" s="2"/>
      <c r="K6" s="2"/>
      <c r="L6" s="2"/>
    </row>
    <row r="7" spans="5:12" ht="15" customHeight="1">
      <c r="E7" s="4"/>
      <c r="F7" s="4"/>
      <c r="G7" s="2" t="s">
        <v>4</v>
      </c>
      <c r="H7" s="2"/>
      <c r="I7" s="2"/>
      <c r="J7" s="2"/>
      <c r="K7" s="2"/>
      <c r="L7" s="2"/>
    </row>
    <row r="8" spans="7:12" ht="8.25" customHeight="1">
      <c r="G8" s="5"/>
      <c r="H8" s="5"/>
      <c r="I8" s="5"/>
      <c r="J8" s="5"/>
      <c r="K8" s="5"/>
      <c r="L8" s="5"/>
    </row>
    <row r="9" spans="1:12" ht="48" customHeight="1">
      <c r="A9" s="6" t="s">
        <v>5</v>
      </c>
      <c r="B9" s="6"/>
      <c r="C9" s="6"/>
      <c r="D9" s="6"/>
      <c r="E9" s="6"/>
      <c r="F9" s="6"/>
      <c r="G9" s="6"/>
      <c r="H9" s="6"/>
      <c r="I9" s="6"/>
      <c r="J9" s="6"/>
      <c r="K9" s="6"/>
      <c r="L9" s="6"/>
    </row>
    <row r="10" spans="1:12" ht="15" customHeight="1">
      <c r="A10" s="7" t="s">
        <v>6</v>
      </c>
      <c r="B10" s="7" t="s">
        <v>7</v>
      </c>
      <c r="C10" s="7" t="s">
        <v>8</v>
      </c>
      <c r="D10" s="7" t="s">
        <v>9</v>
      </c>
      <c r="E10" s="7"/>
      <c r="F10" s="7"/>
      <c r="G10" s="7"/>
      <c r="H10" s="7"/>
      <c r="I10" s="7"/>
      <c r="J10" s="7"/>
      <c r="K10" s="7"/>
      <c r="L10" s="7"/>
    </row>
    <row r="11" spans="1:12" ht="15">
      <c r="A11" s="7"/>
      <c r="B11" s="7"/>
      <c r="C11" s="7"/>
      <c r="D11" s="8">
        <v>2012</v>
      </c>
      <c r="E11" s="8">
        <v>2013</v>
      </c>
      <c r="F11" s="8">
        <v>2014</v>
      </c>
      <c r="G11" s="8">
        <v>2015</v>
      </c>
      <c r="H11" s="8">
        <v>2016</v>
      </c>
      <c r="I11" s="8">
        <v>2017</v>
      </c>
      <c r="J11" s="8">
        <v>2018</v>
      </c>
      <c r="K11" s="8">
        <v>2019</v>
      </c>
      <c r="L11" s="8">
        <v>2020</v>
      </c>
    </row>
    <row r="12" spans="1:12" ht="15">
      <c r="A12" s="8">
        <v>1</v>
      </c>
      <c r="B12" s="8">
        <v>2</v>
      </c>
      <c r="C12" s="8">
        <v>3</v>
      </c>
      <c r="D12" s="8">
        <v>4</v>
      </c>
      <c r="E12" s="8">
        <v>5</v>
      </c>
      <c r="F12" s="8">
        <v>6</v>
      </c>
      <c r="G12" s="8">
        <v>7</v>
      </c>
      <c r="H12" s="8">
        <v>8</v>
      </c>
      <c r="I12" s="8">
        <v>9</v>
      </c>
      <c r="J12" s="8">
        <v>10</v>
      </c>
      <c r="K12" s="8">
        <v>11</v>
      </c>
      <c r="L12" s="8">
        <v>12</v>
      </c>
    </row>
    <row r="13" spans="1:12" ht="17.25" customHeight="1">
      <c r="A13" s="9" t="s">
        <v>10</v>
      </c>
      <c r="B13" s="9"/>
      <c r="C13" s="9"/>
      <c r="D13" s="9"/>
      <c r="E13" s="9"/>
      <c r="F13" s="9"/>
      <c r="G13" s="9"/>
      <c r="H13" s="9"/>
      <c r="I13" s="9"/>
      <c r="J13" s="9"/>
      <c r="K13" s="9"/>
      <c r="L13" s="9"/>
    </row>
    <row r="14" spans="1:12" ht="72" customHeight="1">
      <c r="A14" s="10" t="s">
        <v>11</v>
      </c>
      <c r="B14" s="11" t="s">
        <v>12</v>
      </c>
      <c r="C14" s="12" t="s">
        <v>13</v>
      </c>
      <c r="D14" s="13">
        <v>100</v>
      </c>
      <c r="E14" s="13">
        <v>100</v>
      </c>
      <c r="F14" s="13">
        <v>100</v>
      </c>
      <c r="G14" s="13">
        <v>100</v>
      </c>
      <c r="H14" s="13">
        <v>100</v>
      </c>
      <c r="I14" s="13">
        <v>100</v>
      </c>
      <c r="J14" s="13">
        <v>100</v>
      </c>
      <c r="K14" s="13">
        <v>100</v>
      </c>
      <c r="L14" s="13">
        <v>100</v>
      </c>
    </row>
    <row r="15" spans="1:12" ht="57" customHeight="1">
      <c r="A15" s="10" t="s">
        <v>14</v>
      </c>
      <c r="B15" s="11" t="s">
        <v>15</v>
      </c>
      <c r="C15" s="12" t="s">
        <v>13</v>
      </c>
      <c r="D15" s="13">
        <v>100</v>
      </c>
      <c r="E15" s="13">
        <v>100</v>
      </c>
      <c r="F15" s="13">
        <v>100</v>
      </c>
      <c r="G15" s="13">
        <v>100</v>
      </c>
      <c r="H15" s="13">
        <v>100</v>
      </c>
      <c r="I15" s="13">
        <v>100</v>
      </c>
      <c r="J15" s="13">
        <v>100</v>
      </c>
      <c r="K15" s="13">
        <v>100</v>
      </c>
      <c r="L15" s="13">
        <v>100</v>
      </c>
    </row>
    <row r="16" spans="1:12" ht="99" customHeight="1">
      <c r="A16" s="10" t="s">
        <v>16</v>
      </c>
      <c r="B16" s="11" t="s">
        <v>17</v>
      </c>
      <c r="C16" s="12" t="s">
        <v>13</v>
      </c>
      <c r="D16" s="12">
        <v>93.5</v>
      </c>
      <c r="E16" s="12">
        <v>92.3</v>
      </c>
      <c r="F16" s="12">
        <v>93.5</v>
      </c>
      <c r="G16" s="12">
        <v>94.6</v>
      </c>
      <c r="H16" s="14">
        <v>97.7</v>
      </c>
      <c r="I16" s="14">
        <v>97.9</v>
      </c>
      <c r="J16" s="14">
        <v>99</v>
      </c>
      <c r="K16" s="13">
        <v>100</v>
      </c>
      <c r="L16" s="13">
        <v>100</v>
      </c>
    </row>
    <row r="17" spans="1:12" ht="17.25" customHeight="1">
      <c r="A17" s="15" t="s">
        <v>18</v>
      </c>
      <c r="B17" s="15"/>
      <c r="C17" s="15"/>
      <c r="D17" s="15"/>
      <c r="E17" s="15"/>
      <c r="F17" s="15"/>
      <c r="G17" s="15"/>
      <c r="H17" s="15"/>
      <c r="I17" s="15"/>
      <c r="J17" s="15"/>
      <c r="K17" s="15"/>
      <c r="L17" s="15"/>
    </row>
    <row r="18" spans="1:12" ht="30.75" customHeight="1">
      <c r="A18" s="16" t="s">
        <v>19</v>
      </c>
      <c r="B18" s="16"/>
      <c r="C18" s="16"/>
      <c r="D18" s="16"/>
      <c r="E18" s="16"/>
      <c r="F18" s="16"/>
      <c r="G18" s="16"/>
      <c r="H18" s="16"/>
      <c r="I18" s="16"/>
      <c r="J18" s="16"/>
      <c r="K18" s="16"/>
      <c r="L18" s="16"/>
    </row>
    <row r="19" spans="1:12" ht="75" customHeight="1">
      <c r="A19" s="10" t="s">
        <v>20</v>
      </c>
      <c r="B19" s="17" t="s">
        <v>21</v>
      </c>
      <c r="C19" s="12" t="s">
        <v>22</v>
      </c>
      <c r="D19" s="18">
        <v>0</v>
      </c>
      <c r="E19" s="18">
        <v>0</v>
      </c>
      <c r="F19" s="18">
        <v>0</v>
      </c>
      <c r="G19" s="18">
        <v>0</v>
      </c>
      <c r="H19" s="18">
        <v>0</v>
      </c>
      <c r="I19" s="18">
        <v>0</v>
      </c>
      <c r="J19" s="18">
        <v>0</v>
      </c>
      <c r="K19" s="18">
        <v>0</v>
      </c>
      <c r="L19" s="18">
        <v>0</v>
      </c>
    </row>
    <row r="20" spans="1:12" ht="30.75" customHeight="1">
      <c r="A20" s="19" t="s">
        <v>23</v>
      </c>
      <c r="B20" s="19"/>
      <c r="C20" s="19"/>
      <c r="D20" s="19"/>
      <c r="E20" s="19"/>
      <c r="F20" s="19"/>
      <c r="G20" s="19"/>
      <c r="H20" s="19"/>
      <c r="I20" s="19"/>
      <c r="J20" s="19"/>
      <c r="K20" s="19"/>
      <c r="L20" s="19"/>
    </row>
    <row r="21" spans="1:12" ht="87.75" customHeight="1">
      <c r="A21" s="20" t="s">
        <v>24</v>
      </c>
      <c r="B21" s="21" t="s">
        <v>25</v>
      </c>
      <c r="C21" s="12" t="s">
        <v>13</v>
      </c>
      <c r="D21" s="13">
        <v>100</v>
      </c>
      <c r="E21" s="13">
        <v>100</v>
      </c>
      <c r="F21" s="13">
        <v>100</v>
      </c>
      <c r="G21" s="13">
        <v>100</v>
      </c>
      <c r="H21" s="13">
        <v>100</v>
      </c>
      <c r="I21" s="13">
        <v>100</v>
      </c>
      <c r="J21" s="13">
        <v>100</v>
      </c>
      <c r="K21" s="13">
        <v>100</v>
      </c>
      <c r="L21" s="13">
        <v>100</v>
      </c>
    </row>
    <row r="22" spans="1:12" ht="97.5" customHeight="1">
      <c r="A22" s="20" t="s">
        <v>26</v>
      </c>
      <c r="B22" s="21" t="s">
        <v>27</v>
      </c>
      <c r="C22" s="12" t="s">
        <v>28</v>
      </c>
      <c r="D22" s="13">
        <v>209</v>
      </c>
      <c r="E22" s="22">
        <v>64</v>
      </c>
      <c r="F22" s="23">
        <v>57</v>
      </c>
      <c r="G22" s="24" t="s">
        <v>29</v>
      </c>
      <c r="H22" s="24" t="s">
        <v>29</v>
      </c>
      <c r="I22" s="24" t="s">
        <v>29</v>
      </c>
      <c r="J22" s="24" t="s">
        <v>29</v>
      </c>
      <c r="K22" s="24" t="s">
        <v>29</v>
      </c>
      <c r="L22" s="24" t="s">
        <v>29</v>
      </c>
    </row>
    <row r="23" spans="1:12" ht="100.5" customHeight="1">
      <c r="A23" s="20" t="s">
        <v>30</v>
      </c>
      <c r="B23" s="21" t="s">
        <v>31</v>
      </c>
      <c r="C23" s="12" t="s">
        <v>28</v>
      </c>
      <c r="D23" s="24" t="s">
        <v>29</v>
      </c>
      <c r="E23" s="22">
        <v>141</v>
      </c>
      <c r="F23" s="25">
        <v>130</v>
      </c>
      <c r="G23" s="25">
        <v>130</v>
      </c>
      <c r="H23" s="23">
        <v>130</v>
      </c>
      <c r="I23" s="24" t="s">
        <v>29</v>
      </c>
      <c r="J23" s="24" t="s">
        <v>29</v>
      </c>
      <c r="K23" s="24" t="s">
        <v>29</v>
      </c>
      <c r="L23" s="24" t="s">
        <v>29</v>
      </c>
    </row>
    <row r="24" spans="1:12" ht="84.75" customHeight="1">
      <c r="A24" s="20" t="s">
        <v>32</v>
      </c>
      <c r="B24" s="21" t="s">
        <v>33</v>
      </c>
      <c r="C24" s="12" t="s">
        <v>28</v>
      </c>
      <c r="D24" s="13">
        <v>754</v>
      </c>
      <c r="E24" s="13">
        <v>562</v>
      </c>
      <c r="F24" s="13">
        <v>544</v>
      </c>
      <c r="G24" s="13">
        <v>462</v>
      </c>
      <c r="H24" s="22">
        <v>392</v>
      </c>
      <c r="I24" s="24" t="s">
        <v>29</v>
      </c>
      <c r="J24" s="24" t="s">
        <v>29</v>
      </c>
      <c r="K24" s="24" t="s">
        <v>29</v>
      </c>
      <c r="L24" s="24" t="s">
        <v>29</v>
      </c>
    </row>
    <row r="25" spans="1:12" ht="148.5" customHeight="1">
      <c r="A25" s="20" t="s">
        <v>34</v>
      </c>
      <c r="B25" s="26" t="s">
        <v>35</v>
      </c>
      <c r="C25" s="12" t="s">
        <v>13</v>
      </c>
      <c r="D25" s="27">
        <v>27.8</v>
      </c>
      <c r="E25" s="27">
        <v>36.5</v>
      </c>
      <c r="F25" s="28">
        <v>34.4</v>
      </c>
      <c r="G25" s="14">
        <v>28.1</v>
      </c>
      <c r="H25" s="28">
        <v>33.2</v>
      </c>
      <c r="I25" s="24" t="s">
        <v>29</v>
      </c>
      <c r="J25" s="24" t="s">
        <v>29</v>
      </c>
      <c r="K25" s="24" t="s">
        <v>29</v>
      </c>
      <c r="L25" s="24" t="s">
        <v>29</v>
      </c>
    </row>
    <row r="26" spans="1:12" ht="16.5" customHeight="1">
      <c r="A26" s="16" t="s">
        <v>36</v>
      </c>
      <c r="B26" s="16"/>
      <c r="C26" s="16"/>
      <c r="D26" s="16"/>
      <c r="E26" s="16"/>
      <c r="F26" s="16"/>
      <c r="G26" s="16"/>
      <c r="H26" s="16"/>
      <c r="I26" s="16"/>
      <c r="J26" s="16"/>
      <c r="K26" s="16"/>
      <c r="L26" s="16"/>
    </row>
    <row r="27" spans="1:12" ht="75" customHeight="1">
      <c r="A27" s="20" t="s">
        <v>37</v>
      </c>
      <c r="B27" s="17" t="s">
        <v>38</v>
      </c>
      <c r="C27" s="12" t="s">
        <v>13</v>
      </c>
      <c r="D27" s="28">
        <v>24.7</v>
      </c>
      <c r="E27" s="28">
        <v>22</v>
      </c>
      <c r="F27" s="28">
        <v>20.3</v>
      </c>
      <c r="G27" s="28">
        <v>20.9</v>
      </c>
      <c r="H27" s="28">
        <v>21.4</v>
      </c>
      <c r="I27" s="28">
        <v>22</v>
      </c>
      <c r="J27" s="28">
        <v>23</v>
      </c>
      <c r="K27" s="28">
        <v>24.5</v>
      </c>
      <c r="L27" s="28">
        <v>26</v>
      </c>
    </row>
    <row r="28" spans="1:12" ht="63" customHeight="1">
      <c r="A28" s="7" t="s">
        <v>39</v>
      </c>
      <c r="B28" s="29" t="s">
        <v>40</v>
      </c>
      <c r="C28" s="12" t="s">
        <v>13</v>
      </c>
      <c r="D28" s="14">
        <v>9.6</v>
      </c>
      <c r="E28" s="28">
        <v>9</v>
      </c>
      <c r="F28" s="28">
        <v>9</v>
      </c>
      <c r="G28" s="28">
        <v>9</v>
      </c>
      <c r="H28" s="28">
        <v>8.9</v>
      </c>
      <c r="I28" s="28">
        <v>8.8</v>
      </c>
      <c r="J28" s="28">
        <v>8.7</v>
      </c>
      <c r="K28" s="28">
        <v>8.6</v>
      </c>
      <c r="L28" s="28">
        <v>8.5</v>
      </c>
    </row>
    <row r="29" spans="1:12" ht="33.75" customHeight="1">
      <c r="A29" s="16" t="s">
        <v>41</v>
      </c>
      <c r="B29" s="16"/>
      <c r="C29" s="16"/>
      <c r="D29" s="16"/>
      <c r="E29" s="16"/>
      <c r="F29" s="16"/>
      <c r="G29" s="16"/>
      <c r="H29" s="16"/>
      <c r="I29" s="16"/>
      <c r="J29" s="16"/>
      <c r="K29" s="16"/>
      <c r="L29" s="16"/>
    </row>
    <row r="30" spans="1:12" ht="135" customHeight="1">
      <c r="A30" s="7" t="s">
        <v>42</v>
      </c>
      <c r="B30" s="21" t="s">
        <v>43</v>
      </c>
      <c r="C30" s="12" t="s">
        <v>44</v>
      </c>
      <c r="D30" s="30">
        <v>11</v>
      </c>
      <c r="E30" s="30">
        <v>60</v>
      </c>
      <c r="F30" s="13">
        <v>100</v>
      </c>
      <c r="G30" s="13">
        <v>100</v>
      </c>
      <c r="H30" s="13">
        <v>100</v>
      </c>
      <c r="I30" s="13">
        <v>100</v>
      </c>
      <c r="J30" s="13">
        <v>100</v>
      </c>
      <c r="K30" s="13">
        <v>100</v>
      </c>
      <c r="L30" s="13">
        <v>100</v>
      </c>
    </row>
    <row r="31" spans="1:12" ht="132" customHeight="1">
      <c r="A31" s="7" t="s">
        <v>45</v>
      </c>
      <c r="B31" s="21" t="s">
        <v>46</v>
      </c>
      <c r="C31" s="12" t="s">
        <v>44</v>
      </c>
      <c r="D31" s="30">
        <v>0</v>
      </c>
      <c r="E31" s="30">
        <v>10</v>
      </c>
      <c r="F31" s="30">
        <v>50</v>
      </c>
      <c r="G31" s="30">
        <v>90</v>
      </c>
      <c r="H31" s="30">
        <v>95</v>
      </c>
      <c r="I31" s="13">
        <v>100</v>
      </c>
      <c r="J31" s="13">
        <v>100</v>
      </c>
      <c r="K31" s="13">
        <v>100</v>
      </c>
      <c r="L31" s="13">
        <v>100</v>
      </c>
    </row>
    <row r="32" spans="1:12" ht="117" customHeight="1">
      <c r="A32" s="7" t="s">
        <v>47</v>
      </c>
      <c r="B32" s="21" t="s">
        <v>48</v>
      </c>
      <c r="C32" s="12" t="s">
        <v>44</v>
      </c>
      <c r="D32" s="12">
        <v>0</v>
      </c>
      <c r="E32" s="12">
        <v>5</v>
      </c>
      <c r="F32" s="12">
        <v>20</v>
      </c>
      <c r="G32" s="12">
        <v>50</v>
      </c>
      <c r="H32" s="12">
        <v>50</v>
      </c>
      <c r="I32" s="12">
        <v>70</v>
      </c>
      <c r="J32" s="12">
        <v>80</v>
      </c>
      <c r="K32" s="12">
        <v>90</v>
      </c>
      <c r="L32" s="12">
        <v>100</v>
      </c>
    </row>
    <row r="33" spans="1:12" ht="115.5" customHeight="1">
      <c r="A33" s="7" t="s">
        <v>49</v>
      </c>
      <c r="B33" s="26" t="s">
        <v>50</v>
      </c>
      <c r="C33" s="12" t="s">
        <v>44</v>
      </c>
      <c r="D33" s="12">
        <v>0</v>
      </c>
      <c r="E33" s="12">
        <v>5</v>
      </c>
      <c r="F33" s="12">
        <v>20</v>
      </c>
      <c r="G33" s="12">
        <v>50</v>
      </c>
      <c r="H33" s="12">
        <v>50</v>
      </c>
      <c r="I33" s="12">
        <v>70</v>
      </c>
      <c r="J33" s="12">
        <v>80</v>
      </c>
      <c r="K33" s="12">
        <v>90</v>
      </c>
      <c r="L33" s="12">
        <v>100</v>
      </c>
    </row>
    <row r="34" spans="1:12" ht="15" customHeight="1">
      <c r="A34" s="16" t="s">
        <v>51</v>
      </c>
      <c r="B34" s="16"/>
      <c r="C34" s="16"/>
      <c r="D34" s="16"/>
      <c r="E34" s="16"/>
      <c r="F34" s="16"/>
      <c r="G34" s="16"/>
      <c r="H34" s="16"/>
      <c r="I34" s="16"/>
      <c r="J34" s="16"/>
      <c r="K34" s="16"/>
      <c r="L34" s="16"/>
    </row>
    <row r="35" spans="1:12" ht="16.5" customHeight="1">
      <c r="A35" s="16" t="s">
        <v>52</v>
      </c>
      <c r="B35" s="16"/>
      <c r="C35" s="16"/>
      <c r="D35" s="16"/>
      <c r="E35" s="16"/>
      <c r="F35" s="16"/>
      <c r="G35" s="16"/>
      <c r="H35" s="16"/>
      <c r="I35" s="16"/>
      <c r="J35" s="16"/>
      <c r="K35" s="16"/>
      <c r="L35" s="16"/>
    </row>
    <row r="36" spans="1:12" ht="50.25">
      <c r="A36" s="10" t="s">
        <v>53</v>
      </c>
      <c r="B36" s="29" t="s">
        <v>54</v>
      </c>
      <c r="C36" s="31" t="s">
        <v>55</v>
      </c>
      <c r="D36" s="12">
        <v>35.5</v>
      </c>
      <c r="E36" s="12">
        <v>35.7</v>
      </c>
      <c r="F36" s="12">
        <v>36</v>
      </c>
      <c r="G36" s="12">
        <v>37.3</v>
      </c>
      <c r="H36" s="12">
        <v>37.6</v>
      </c>
      <c r="I36" s="12">
        <v>37.8</v>
      </c>
      <c r="J36" s="12">
        <v>38</v>
      </c>
      <c r="K36" s="12">
        <v>40.6</v>
      </c>
      <c r="L36" s="12">
        <v>40.8</v>
      </c>
    </row>
    <row r="37" spans="1:12" s="32" customFormat="1" ht="38.25" customHeight="1">
      <c r="A37" s="10" t="s">
        <v>56</v>
      </c>
      <c r="B37" s="29" t="s">
        <v>57</v>
      </c>
      <c r="C37" s="31" t="s">
        <v>28</v>
      </c>
      <c r="D37" s="12">
        <v>181</v>
      </c>
      <c r="E37" s="12">
        <v>256</v>
      </c>
      <c r="F37" s="12">
        <v>222</v>
      </c>
      <c r="G37" s="12">
        <v>191</v>
      </c>
      <c r="H37" s="12">
        <v>80</v>
      </c>
      <c r="I37" s="12">
        <v>73</v>
      </c>
      <c r="J37" s="12">
        <v>35</v>
      </c>
      <c r="K37" s="12">
        <v>0</v>
      </c>
      <c r="L37" s="12">
        <v>0</v>
      </c>
    </row>
    <row r="38" spans="1:12" s="32" customFormat="1" ht="63" customHeight="1">
      <c r="A38" s="10" t="s">
        <v>58</v>
      </c>
      <c r="B38" s="21" t="s">
        <v>59</v>
      </c>
      <c r="C38" s="12" t="s">
        <v>13</v>
      </c>
      <c r="D38" s="33"/>
      <c r="E38" s="33"/>
      <c r="F38" s="33">
        <v>100</v>
      </c>
      <c r="H38" s="33"/>
      <c r="I38" s="33"/>
      <c r="J38" s="33"/>
      <c r="K38" s="33"/>
      <c r="L38" s="33"/>
    </row>
    <row r="39" spans="1:12" s="32" customFormat="1" ht="72" customHeight="1">
      <c r="A39" s="10" t="s">
        <v>60</v>
      </c>
      <c r="B39" s="29" t="s">
        <v>61</v>
      </c>
      <c r="C39" s="12" t="s">
        <v>13</v>
      </c>
      <c r="D39" s="33"/>
      <c r="E39" s="33"/>
      <c r="F39" s="33"/>
      <c r="G39" s="33"/>
      <c r="H39" s="33">
        <v>45</v>
      </c>
      <c r="I39" s="33">
        <v>70</v>
      </c>
      <c r="J39" s="33">
        <v>100</v>
      </c>
      <c r="K39" s="33"/>
      <c r="L39" s="33"/>
    </row>
    <row r="40" spans="1:12" s="32" customFormat="1" ht="69" customHeight="1">
      <c r="A40" s="10" t="s">
        <v>62</v>
      </c>
      <c r="B40" s="29" t="s">
        <v>63</v>
      </c>
      <c r="C40" s="12" t="s">
        <v>13</v>
      </c>
      <c r="D40" s="31"/>
      <c r="E40" s="31"/>
      <c r="F40" s="31"/>
      <c r="G40" s="31"/>
      <c r="H40" s="31">
        <v>30</v>
      </c>
      <c r="I40" s="31">
        <v>100</v>
      </c>
      <c r="J40" s="31"/>
      <c r="K40" s="31"/>
      <c r="L40" s="31"/>
    </row>
    <row r="41" spans="1:12" s="32" customFormat="1" ht="71.25" customHeight="1">
      <c r="A41" s="7" t="s">
        <v>64</v>
      </c>
      <c r="B41" s="34" t="s">
        <v>65</v>
      </c>
      <c r="C41" s="12" t="s">
        <v>13</v>
      </c>
      <c r="D41" s="13"/>
      <c r="E41" s="13"/>
      <c r="F41" s="13"/>
      <c r="G41" s="13"/>
      <c r="H41" s="13">
        <v>50</v>
      </c>
      <c r="I41" s="13">
        <v>100</v>
      </c>
      <c r="J41" s="13"/>
      <c r="K41" s="13"/>
      <c r="L41" s="13"/>
    </row>
    <row r="42" spans="1:12" s="32" customFormat="1" ht="86.25" customHeight="1">
      <c r="A42" s="7" t="s">
        <v>66</v>
      </c>
      <c r="B42" s="21" t="s">
        <v>67</v>
      </c>
      <c r="C42" s="12" t="s">
        <v>13</v>
      </c>
      <c r="D42" s="12">
        <v>0</v>
      </c>
      <c r="E42" s="12">
        <v>65</v>
      </c>
      <c r="F42" s="12">
        <v>85</v>
      </c>
      <c r="G42" s="13">
        <v>100</v>
      </c>
      <c r="H42" s="13">
        <v>100</v>
      </c>
      <c r="I42" s="13">
        <v>100</v>
      </c>
      <c r="J42" s="13">
        <v>100</v>
      </c>
      <c r="K42" s="13">
        <v>100</v>
      </c>
      <c r="L42" s="13">
        <v>100</v>
      </c>
    </row>
    <row r="43" spans="1:12" ht="84.75" customHeight="1">
      <c r="A43" s="7" t="s">
        <v>68</v>
      </c>
      <c r="B43" s="21" t="s">
        <v>69</v>
      </c>
      <c r="C43" s="12" t="s">
        <v>13</v>
      </c>
      <c r="D43" s="13">
        <v>40</v>
      </c>
      <c r="E43" s="13">
        <v>50</v>
      </c>
      <c r="F43" s="13">
        <v>55</v>
      </c>
      <c r="G43" s="13">
        <v>80</v>
      </c>
      <c r="H43" s="13">
        <v>85</v>
      </c>
      <c r="I43" s="13">
        <v>90</v>
      </c>
      <c r="J43" s="13">
        <v>100</v>
      </c>
      <c r="K43" s="13">
        <v>100</v>
      </c>
      <c r="L43" s="13">
        <v>100</v>
      </c>
    </row>
    <row r="44" spans="1:12" ht="111.75" customHeight="1">
      <c r="A44" s="7" t="s">
        <v>70</v>
      </c>
      <c r="B44" s="17" t="s">
        <v>71</v>
      </c>
      <c r="C44" s="31" t="s">
        <v>13</v>
      </c>
      <c r="D44" s="12">
        <v>10</v>
      </c>
      <c r="E44" s="12">
        <v>15</v>
      </c>
      <c r="F44" s="12">
        <v>20</v>
      </c>
      <c r="G44" s="12">
        <v>25</v>
      </c>
      <c r="H44" s="12">
        <v>30</v>
      </c>
      <c r="I44" s="12">
        <v>35</v>
      </c>
      <c r="J44" s="12">
        <v>40</v>
      </c>
      <c r="K44" s="12">
        <v>45</v>
      </c>
      <c r="L44" s="12">
        <v>50</v>
      </c>
    </row>
    <row r="45" spans="1:12" ht="15" customHeight="1">
      <c r="A45" s="35" t="s">
        <v>72</v>
      </c>
      <c r="B45" s="35"/>
      <c r="C45" s="35"/>
      <c r="D45" s="35"/>
      <c r="E45" s="35"/>
      <c r="F45" s="35"/>
      <c r="G45" s="35"/>
      <c r="H45" s="35"/>
      <c r="I45" s="35"/>
      <c r="J45" s="35"/>
      <c r="K45" s="35"/>
      <c r="L45" s="35"/>
    </row>
    <row r="46" spans="1:12" s="32" customFormat="1" ht="57" customHeight="1">
      <c r="A46" s="36" t="s">
        <v>73</v>
      </c>
      <c r="B46" s="17" t="s">
        <v>74</v>
      </c>
      <c r="C46" s="12" t="s">
        <v>13</v>
      </c>
      <c r="D46" s="37">
        <v>22.6</v>
      </c>
      <c r="E46" s="37">
        <v>38.7</v>
      </c>
      <c r="F46" s="37">
        <v>46.8</v>
      </c>
      <c r="G46" s="37">
        <v>64.5</v>
      </c>
      <c r="H46" s="37">
        <v>82.2</v>
      </c>
      <c r="I46" s="37">
        <v>85</v>
      </c>
      <c r="J46" s="37">
        <v>90</v>
      </c>
      <c r="K46" s="37">
        <v>95</v>
      </c>
      <c r="L46" s="37">
        <v>100</v>
      </c>
    </row>
    <row r="47" spans="1:12" s="32" customFormat="1" ht="58.5" customHeight="1">
      <c r="A47" s="38" t="s">
        <v>75</v>
      </c>
      <c r="B47" s="21" t="s">
        <v>76</v>
      </c>
      <c r="C47" s="12" t="s">
        <v>13</v>
      </c>
      <c r="D47" s="37">
        <v>10.4</v>
      </c>
      <c r="E47" s="37">
        <v>17</v>
      </c>
      <c r="F47" s="37">
        <v>19.2</v>
      </c>
      <c r="G47" s="37">
        <v>23</v>
      </c>
      <c r="H47" s="37">
        <v>27</v>
      </c>
      <c r="I47" s="37">
        <v>28</v>
      </c>
      <c r="J47" s="37">
        <v>29</v>
      </c>
      <c r="K47" s="37">
        <v>30</v>
      </c>
      <c r="L47" s="37">
        <v>33</v>
      </c>
    </row>
    <row r="48" spans="1:12" ht="104.25" customHeight="1">
      <c r="A48" s="10" t="s">
        <v>77</v>
      </c>
      <c r="B48" s="21" t="s">
        <v>78</v>
      </c>
      <c r="C48" s="12" t="s">
        <v>13</v>
      </c>
      <c r="D48" s="39">
        <v>27.9</v>
      </c>
      <c r="E48" s="39">
        <v>26.5</v>
      </c>
      <c r="F48" s="39">
        <v>23.4</v>
      </c>
      <c r="G48" s="39">
        <v>22.7</v>
      </c>
      <c r="H48" s="39">
        <v>20.9</v>
      </c>
      <c r="I48" s="39">
        <v>15.6</v>
      </c>
      <c r="J48" s="39">
        <v>12.5</v>
      </c>
      <c r="K48" s="39">
        <v>10</v>
      </c>
      <c r="L48" s="39">
        <v>10</v>
      </c>
    </row>
    <row r="49" spans="1:12" ht="81.75" customHeight="1">
      <c r="A49" s="10" t="s">
        <v>79</v>
      </c>
      <c r="B49" s="21" t="s">
        <v>80</v>
      </c>
      <c r="C49" s="12" t="s">
        <v>13</v>
      </c>
      <c r="D49" s="40">
        <v>30</v>
      </c>
      <c r="E49" s="40">
        <v>18</v>
      </c>
      <c r="F49" s="40">
        <v>20</v>
      </c>
      <c r="G49" s="40">
        <v>20</v>
      </c>
      <c r="H49" s="40">
        <v>20</v>
      </c>
      <c r="I49" s="40">
        <v>20</v>
      </c>
      <c r="J49" s="40">
        <v>20</v>
      </c>
      <c r="K49" s="40">
        <v>20</v>
      </c>
      <c r="L49" s="40">
        <v>20</v>
      </c>
    </row>
    <row r="50" spans="1:12" ht="17.25" customHeight="1">
      <c r="A50" s="35" t="s">
        <v>81</v>
      </c>
      <c r="B50" s="35"/>
      <c r="C50" s="35"/>
      <c r="D50" s="35"/>
      <c r="E50" s="35"/>
      <c r="F50" s="35"/>
      <c r="G50" s="35"/>
      <c r="H50" s="35"/>
      <c r="I50" s="35"/>
      <c r="J50" s="35"/>
      <c r="K50" s="35"/>
      <c r="L50" s="35"/>
    </row>
    <row r="51" spans="1:12" ht="57" customHeight="1">
      <c r="A51" s="41" t="s">
        <v>82</v>
      </c>
      <c r="B51" s="29" t="s">
        <v>83</v>
      </c>
      <c r="C51" s="31" t="s">
        <v>44</v>
      </c>
      <c r="D51" s="42">
        <v>98.21</v>
      </c>
      <c r="E51" s="42">
        <v>98.51</v>
      </c>
      <c r="F51" s="42">
        <v>98.7</v>
      </c>
      <c r="G51" s="43">
        <v>99.3</v>
      </c>
      <c r="H51" s="43">
        <v>99.33</v>
      </c>
      <c r="I51" s="43">
        <v>99.35</v>
      </c>
      <c r="J51" s="43">
        <v>99.38</v>
      </c>
      <c r="K51" s="43">
        <v>100</v>
      </c>
      <c r="L51" s="43">
        <v>100</v>
      </c>
    </row>
    <row r="52" spans="1:12" ht="75.75" customHeight="1">
      <c r="A52" s="10" t="s">
        <v>84</v>
      </c>
      <c r="B52" s="44" t="s">
        <v>85</v>
      </c>
      <c r="C52" s="12" t="s">
        <v>13</v>
      </c>
      <c r="D52" s="45">
        <v>37.6</v>
      </c>
      <c r="E52" s="46">
        <v>47.5</v>
      </c>
      <c r="F52" s="46">
        <v>58</v>
      </c>
      <c r="G52" s="46">
        <v>68.5</v>
      </c>
      <c r="H52" s="46">
        <v>79</v>
      </c>
      <c r="I52" s="46">
        <v>89.5</v>
      </c>
      <c r="J52" s="14">
        <v>100</v>
      </c>
      <c r="K52" s="14">
        <v>100</v>
      </c>
      <c r="L52" s="14">
        <v>100</v>
      </c>
    </row>
    <row r="53" spans="1:12" ht="132" customHeight="1">
      <c r="A53" s="10" t="s">
        <v>86</v>
      </c>
      <c r="B53" s="47" t="s">
        <v>87</v>
      </c>
      <c r="C53" s="12" t="s">
        <v>44</v>
      </c>
      <c r="D53" s="48">
        <v>89.5</v>
      </c>
      <c r="E53" s="48">
        <v>87</v>
      </c>
      <c r="F53" s="48">
        <v>87.5</v>
      </c>
      <c r="G53" s="48">
        <v>88</v>
      </c>
      <c r="H53" s="48">
        <v>88.2</v>
      </c>
      <c r="I53" s="48">
        <v>88.5</v>
      </c>
      <c r="J53" s="48">
        <v>89.5</v>
      </c>
      <c r="K53" s="48">
        <v>89.7</v>
      </c>
      <c r="L53" s="48">
        <v>89.9</v>
      </c>
    </row>
    <row r="54" spans="1:12" ht="73.5" customHeight="1">
      <c r="A54" s="10" t="s">
        <v>88</v>
      </c>
      <c r="B54" s="21" t="s">
        <v>89</v>
      </c>
      <c r="C54" s="12" t="s">
        <v>44</v>
      </c>
      <c r="D54" s="49">
        <v>73.79</v>
      </c>
      <c r="E54" s="12">
        <v>73.94</v>
      </c>
      <c r="F54" s="12">
        <v>74.09</v>
      </c>
      <c r="G54" s="49">
        <v>74.25</v>
      </c>
      <c r="H54" s="49">
        <v>74.33</v>
      </c>
      <c r="I54" s="49">
        <v>74.44</v>
      </c>
      <c r="J54" s="49">
        <v>74.55</v>
      </c>
      <c r="K54" s="49">
        <v>74.64</v>
      </c>
      <c r="L54" s="49">
        <v>74.7</v>
      </c>
    </row>
    <row r="55" spans="1:26" s="51" customFormat="1" ht="100.5" customHeight="1">
      <c r="A55" s="36" t="s">
        <v>90</v>
      </c>
      <c r="B55" s="29" t="s">
        <v>91</v>
      </c>
      <c r="C55" s="31" t="s">
        <v>44</v>
      </c>
      <c r="D55" s="37">
        <v>100</v>
      </c>
      <c r="E55" s="37">
        <v>100</v>
      </c>
      <c r="F55" s="37">
        <v>100</v>
      </c>
      <c r="G55" s="37">
        <v>100</v>
      </c>
      <c r="H55" s="37">
        <v>100</v>
      </c>
      <c r="I55" s="37">
        <v>100</v>
      </c>
      <c r="J55" s="37">
        <v>100</v>
      </c>
      <c r="K55" s="37">
        <v>100</v>
      </c>
      <c r="L55" s="37">
        <v>100</v>
      </c>
      <c r="M55" s="50"/>
      <c r="N55" s="50"/>
      <c r="O55" s="50"/>
      <c r="P55" s="50"/>
      <c r="Q55" s="50"/>
      <c r="R55" s="50"/>
      <c r="S55" s="50"/>
      <c r="T55" s="50"/>
      <c r="U55" s="50"/>
      <c r="V55" s="50"/>
      <c r="W55" s="50"/>
      <c r="X55" s="50"/>
      <c r="Y55" s="50"/>
      <c r="Z55" s="50"/>
    </row>
    <row r="56" spans="1:12" ht="19.5" customHeight="1">
      <c r="A56" s="35" t="s">
        <v>92</v>
      </c>
      <c r="B56" s="35"/>
      <c r="C56" s="35"/>
      <c r="D56" s="35"/>
      <c r="E56" s="35"/>
      <c r="F56" s="35"/>
      <c r="G56" s="35"/>
      <c r="H56" s="35"/>
      <c r="I56" s="35"/>
      <c r="J56" s="35"/>
      <c r="K56" s="35"/>
      <c r="L56" s="35"/>
    </row>
    <row r="57" spans="1:12" ht="50.25">
      <c r="A57" s="36" t="s">
        <v>93</v>
      </c>
      <c r="B57" s="17" t="s">
        <v>94</v>
      </c>
      <c r="C57" s="12" t="s">
        <v>95</v>
      </c>
      <c r="D57" s="31">
        <v>20</v>
      </c>
      <c r="E57" s="52">
        <v>20</v>
      </c>
      <c r="F57" s="52">
        <v>20</v>
      </c>
      <c r="G57" s="52">
        <v>20</v>
      </c>
      <c r="H57" s="52">
        <v>20</v>
      </c>
      <c r="I57" s="52">
        <v>20</v>
      </c>
      <c r="J57" s="52">
        <v>20</v>
      </c>
      <c r="K57" s="52">
        <v>20</v>
      </c>
      <c r="L57" s="52">
        <v>20</v>
      </c>
    </row>
    <row r="58" spans="1:12" ht="109.5" customHeight="1">
      <c r="A58" s="38" t="s">
        <v>96</v>
      </c>
      <c r="B58" s="21" t="s">
        <v>97</v>
      </c>
      <c r="C58" s="12" t="s">
        <v>13</v>
      </c>
      <c r="D58" s="53">
        <v>97.487</v>
      </c>
      <c r="E58" s="12">
        <v>97.581</v>
      </c>
      <c r="F58" s="12">
        <v>97.595</v>
      </c>
      <c r="G58" s="12">
        <v>97.613</v>
      </c>
      <c r="H58" s="12">
        <v>97.615</v>
      </c>
      <c r="I58" s="12">
        <v>97.618</v>
      </c>
      <c r="J58" s="12">
        <v>97.621</v>
      </c>
      <c r="K58" s="12">
        <v>97.623</v>
      </c>
      <c r="L58" s="12">
        <v>97.626</v>
      </c>
    </row>
    <row r="59" spans="1:12" ht="90.75" customHeight="1">
      <c r="A59" s="36" t="s">
        <v>98</v>
      </c>
      <c r="B59" s="29" t="s">
        <v>99</v>
      </c>
      <c r="C59" s="31" t="s">
        <v>44</v>
      </c>
      <c r="D59" s="13">
        <v>100</v>
      </c>
      <c r="E59" s="54">
        <v>100</v>
      </c>
      <c r="F59" s="54">
        <v>100</v>
      </c>
      <c r="G59" s="54">
        <v>100</v>
      </c>
      <c r="H59" s="54">
        <v>100</v>
      </c>
      <c r="I59" s="54">
        <v>100</v>
      </c>
      <c r="J59" s="54">
        <v>100</v>
      </c>
      <c r="K59" s="54">
        <v>100</v>
      </c>
      <c r="L59" s="54">
        <v>100</v>
      </c>
    </row>
    <row r="60" spans="1:12" ht="132" customHeight="1">
      <c r="A60" s="36" t="s">
        <v>100</v>
      </c>
      <c r="B60" s="21" t="s">
        <v>101</v>
      </c>
      <c r="C60" s="31" t="s">
        <v>44</v>
      </c>
      <c r="D60" s="13">
        <v>100</v>
      </c>
      <c r="E60" s="13">
        <v>100</v>
      </c>
      <c r="F60" s="13">
        <v>100</v>
      </c>
      <c r="G60" s="13">
        <v>100</v>
      </c>
      <c r="H60" s="13">
        <v>100</v>
      </c>
      <c r="I60" s="13">
        <v>100</v>
      </c>
      <c r="J60" s="13">
        <v>100</v>
      </c>
      <c r="K60" s="13">
        <v>100</v>
      </c>
      <c r="L60" s="13">
        <v>100</v>
      </c>
    </row>
    <row r="61" spans="1:12" ht="15" customHeight="1">
      <c r="A61" s="35" t="s">
        <v>102</v>
      </c>
      <c r="B61" s="35"/>
      <c r="C61" s="35"/>
      <c r="D61" s="35"/>
      <c r="E61" s="35"/>
      <c r="F61" s="35"/>
      <c r="G61" s="35"/>
      <c r="H61" s="35"/>
      <c r="I61" s="35"/>
      <c r="J61" s="35"/>
      <c r="K61" s="35"/>
      <c r="L61" s="35"/>
    </row>
    <row r="62" spans="1:12" ht="51" customHeight="1">
      <c r="A62" s="36" t="s">
        <v>103</v>
      </c>
      <c r="B62" s="47" t="s">
        <v>104</v>
      </c>
      <c r="C62" s="12" t="s">
        <v>105</v>
      </c>
      <c r="D62" s="13">
        <v>155</v>
      </c>
      <c r="E62" s="13">
        <v>157</v>
      </c>
      <c r="F62" s="13">
        <v>160</v>
      </c>
      <c r="G62" s="13">
        <v>162</v>
      </c>
      <c r="H62" s="13">
        <v>165</v>
      </c>
      <c r="I62" s="13">
        <v>170</v>
      </c>
      <c r="J62" s="13">
        <v>172</v>
      </c>
      <c r="K62" s="13">
        <v>175</v>
      </c>
      <c r="L62" s="13">
        <v>180</v>
      </c>
    </row>
    <row r="63" spans="1:12" ht="56.25" customHeight="1">
      <c r="A63" s="36" t="s">
        <v>106</v>
      </c>
      <c r="B63" s="21" t="s">
        <v>107</v>
      </c>
      <c r="C63" s="12" t="s">
        <v>44</v>
      </c>
      <c r="D63" s="13"/>
      <c r="E63" s="13"/>
      <c r="F63" s="13"/>
      <c r="G63" s="13"/>
      <c r="H63" s="14">
        <v>6.7</v>
      </c>
      <c r="I63" s="14">
        <v>6.7</v>
      </c>
      <c r="J63" s="14">
        <v>6.7</v>
      </c>
      <c r="K63" s="14">
        <v>7</v>
      </c>
      <c r="L63" s="14">
        <v>7</v>
      </c>
    </row>
    <row r="64" spans="1:12" ht="15" customHeight="1">
      <c r="A64" s="16" t="s">
        <v>108</v>
      </c>
      <c r="B64" s="16"/>
      <c r="C64" s="16"/>
      <c r="D64" s="16"/>
      <c r="E64" s="16"/>
      <c r="F64" s="16"/>
      <c r="G64" s="16"/>
      <c r="H64" s="16"/>
      <c r="I64" s="16"/>
      <c r="J64" s="16"/>
      <c r="K64" s="16"/>
      <c r="L64" s="16"/>
    </row>
    <row r="65" spans="1:12" s="32" customFormat="1" ht="24" customHeight="1">
      <c r="A65" s="35" t="s">
        <v>109</v>
      </c>
      <c r="B65" s="35"/>
      <c r="C65" s="35"/>
      <c r="D65" s="35"/>
      <c r="E65" s="35"/>
      <c r="F65" s="35"/>
      <c r="G65" s="35"/>
      <c r="H65" s="35"/>
      <c r="I65" s="35"/>
      <c r="J65" s="35"/>
      <c r="K65" s="35"/>
      <c r="L65" s="35"/>
    </row>
    <row r="66" spans="1:12" ht="39" customHeight="1">
      <c r="A66" s="55" t="s">
        <v>110</v>
      </c>
      <c r="B66" s="17" t="s">
        <v>111</v>
      </c>
      <c r="C66" s="31" t="s">
        <v>44</v>
      </c>
      <c r="D66" s="31">
        <v>100</v>
      </c>
      <c r="E66" s="31">
        <v>100</v>
      </c>
      <c r="F66" s="31">
        <v>100</v>
      </c>
      <c r="G66" s="31">
        <v>100</v>
      </c>
      <c r="H66" s="31">
        <v>100</v>
      </c>
      <c r="I66" s="31">
        <v>100</v>
      </c>
      <c r="J66" s="31">
        <v>100</v>
      </c>
      <c r="K66" s="31">
        <v>100</v>
      </c>
      <c r="L66" s="31">
        <v>100</v>
      </c>
    </row>
    <row r="67" spans="1:12" ht="34.5" customHeight="1">
      <c r="A67" s="35" t="s">
        <v>112</v>
      </c>
      <c r="B67" s="35"/>
      <c r="C67" s="35"/>
      <c r="D67" s="35"/>
      <c r="E67" s="35"/>
      <c r="F67" s="35"/>
      <c r="G67" s="35"/>
      <c r="H67" s="35"/>
      <c r="I67" s="35"/>
      <c r="J67" s="35"/>
      <c r="K67" s="35"/>
      <c r="L67" s="35"/>
    </row>
    <row r="68" spans="1:12" ht="38.25" customHeight="1">
      <c r="A68" s="10" t="s">
        <v>113</v>
      </c>
      <c r="B68" s="17" t="s">
        <v>111</v>
      </c>
      <c r="C68" s="31" t="s">
        <v>44</v>
      </c>
      <c r="D68" s="31">
        <v>100</v>
      </c>
      <c r="E68" s="31">
        <v>100</v>
      </c>
      <c r="F68" s="31">
        <v>100</v>
      </c>
      <c r="G68" s="31">
        <v>100</v>
      </c>
      <c r="H68" s="31">
        <v>100</v>
      </c>
      <c r="I68" s="31">
        <v>100</v>
      </c>
      <c r="J68" s="31">
        <v>100</v>
      </c>
      <c r="K68" s="31">
        <v>100</v>
      </c>
      <c r="L68" s="31">
        <v>100</v>
      </c>
    </row>
  </sheetData>
  <sheetProtection selectLockedCells="1" selectUnlockedCells="1"/>
  <mergeCells count="27">
    <mergeCell ref="G1:L1"/>
    <mergeCell ref="C2:L2"/>
    <mergeCell ref="B3:L3"/>
    <mergeCell ref="C4:L4"/>
    <mergeCell ref="F5:L5"/>
    <mergeCell ref="F6:L6"/>
    <mergeCell ref="G7:L7"/>
    <mergeCell ref="A9:L9"/>
    <mergeCell ref="A10:A11"/>
    <mergeCell ref="B10:B11"/>
    <mergeCell ref="C10:C11"/>
    <mergeCell ref="D10:L10"/>
    <mergeCell ref="A13:L13"/>
    <mergeCell ref="A17:L17"/>
    <mergeCell ref="A18:L18"/>
    <mergeCell ref="A20:L20"/>
    <mergeCell ref="A26:L26"/>
    <mergeCell ref="A29:L29"/>
    <mergeCell ref="A34:L34"/>
    <mergeCell ref="A35:L35"/>
    <mergeCell ref="A45:L45"/>
    <mergeCell ref="A50:L50"/>
    <mergeCell ref="A56:L56"/>
    <mergeCell ref="A61:L61"/>
    <mergeCell ref="A64:L64"/>
    <mergeCell ref="A65:L65"/>
    <mergeCell ref="A67:L67"/>
  </mergeCells>
  <printOptions/>
  <pageMargins left="0.39375" right="0.39375" top="0.39375" bottom="0.1965277777777777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44"/>
    <pageSetUpPr fitToPage="1"/>
  </sheetPr>
  <dimension ref="A1:I23"/>
  <sheetViews>
    <sheetView tabSelected="1" workbookViewId="0" topLeftCell="A1">
      <selection activeCell="B14" sqref="B14"/>
    </sheetView>
  </sheetViews>
  <sheetFormatPr defaultColWidth="9.00390625" defaultRowHeight="12.75"/>
  <cols>
    <col min="1" max="1" width="3.625" style="283" customWidth="1"/>
    <col min="2" max="2" width="49.50390625" style="283" customWidth="1"/>
    <col min="3" max="3" width="12.375" style="283" customWidth="1"/>
    <col min="4" max="4" width="15.875" style="283" customWidth="1"/>
    <col min="5" max="8" width="15.625" style="283" customWidth="1"/>
    <col min="9" max="9" width="19.50390625" style="283" customWidth="1"/>
    <col min="10" max="16384" width="9.125" style="283" customWidth="1"/>
  </cols>
  <sheetData>
    <row r="1" spans="1:8" ht="15">
      <c r="A1" s="284"/>
      <c r="B1" s="284"/>
      <c r="C1" s="284"/>
      <c r="D1" s="284"/>
      <c r="E1" s="58"/>
      <c r="F1" s="132"/>
      <c r="G1" s="132"/>
      <c r="H1" s="132"/>
    </row>
    <row r="2" spans="1:8" ht="15" customHeight="1">
      <c r="A2" s="284"/>
      <c r="B2" s="284"/>
      <c r="C2" s="284"/>
      <c r="D2" s="284"/>
      <c r="E2" s="58"/>
      <c r="F2" s="59" t="s">
        <v>757</v>
      </c>
      <c r="G2" s="59"/>
      <c r="H2" s="59"/>
    </row>
    <row r="3" spans="1:9" ht="52.5" customHeight="1">
      <c r="A3" s="285" t="s">
        <v>758</v>
      </c>
      <c r="B3" s="285"/>
      <c r="C3" s="285"/>
      <c r="D3" s="285"/>
      <c r="E3" s="285"/>
      <c r="F3" s="285"/>
      <c r="G3" s="285"/>
      <c r="H3" s="285"/>
      <c r="I3" s="283" t="s">
        <v>405</v>
      </c>
    </row>
    <row r="4" spans="1:8" ht="12.75" customHeight="1">
      <c r="A4" s="153" t="s">
        <v>116</v>
      </c>
      <c r="B4" s="153" t="s">
        <v>759</v>
      </c>
      <c r="C4" s="153" t="s">
        <v>760</v>
      </c>
      <c r="D4" s="153" t="s">
        <v>761</v>
      </c>
      <c r="E4" s="154" t="s">
        <v>762</v>
      </c>
      <c r="F4" s="154"/>
      <c r="G4" s="154"/>
      <c r="H4" s="154"/>
    </row>
    <row r="5" spans="1:8" ht="21.75" customHeight="1">
      <c r="A5" s="153"/>
      <c r="B5" s="153"/>
      <c r="C5" s="153"/>
      <c r="D5" s="153"/>
      <c r="E5" s="154">
        <v>2013</v>
      </c>
      <c r="F5" s="153">
        <v>2014</v>
      </c>
      <c r="G5" s="153">
        <v>2015</v>
      </c>
      <c r="H5" s="154">
        <v>2016</v>
      </c>
    </row>
    <row r="6" spans="1:8" ht="12.75">
      <c r="A6" s="96"/>
      <c r="B6" s="286" t="s">
        <v>763</v>
      </c>
      <c r="C6" s="287"/>
      <c r="D6" s="287"/>
      <c r="E6" s="288">
        <f>E8</f>
        <v>10492</v>
      </c>
      <c r="F6" s="288">
        <f>F8</f>
        <v>100000</v>
      </c>
      <c r="G6" s="288">
        <f>G8</f>
        <v>0</v>
      </c>
      <c r="H6" s="288">
        <f>H8</f>
        <v>370296</v>
      </c>
    </row>
    <row r="7" spans="1:8" ht="35.25" customHeight="1">
      <c r="A7" s="154"/>
      <c r="B7" s="289" t="s">
        <v>764</v>
      </c>
      <c r="C7" s="290"/>
      <c r="D7" s="290"/>
      <c r="E7" s="291"/>
      <c r="F7" s="291"/>
      <c r="G7" s="291"/>
      <c r="H7" s="290"/>
    </row>
    <row r="8" spans="1:8" ht="21" customHeight="1">
      <c r="A8" s="154"/>
      <c r="B8" s="292" t="s">
        <v>765</v>
      </c>
      <c r="C8" s="290"/>
      <c r="D8" s="290"/>
      <c r="E8" s="291">
        <f>E13+E16+E19+E22</f>
        <v>10492</v>
      </c>
      <c r="F8" s="291">
        <f>F13+F16+F19+F22</f>
        <v>100000</v>
      </c>
      <c r="G8" s="291">
        <f>G13+G16+G19+G22</f>
        <v>0</v>
      </c>
      <c r="H8" s="291">
        <f>H13+H16+H19+H22</f>
        <v>370296</v>
      </c>
    </row>
    <row r="9" spans="1:8" s="295" customFormat="1" ht="27.75" customHeight="1">
      <c r="A9" s="293"/>
      <c r="B9" s="159" t="s">
        <v>766</v>
      </c>
      <c r="C9" s="290"/>
      <c r="D9" s="290"/>
      <c r="E9" s="294"/>
      <c r="F9" s="294"/>
      <c r="G9" s="294"/>
      <c r="H9" s="290"/>
    </row>
    <row r="10" spans="1:8" s="295" customFormat="1" ht="53.25" customHeight="1">
      <c r="A10" s="293"/>
      <c r="B10" s="296" t="s">
        <v>767</v>
      </c>
      <c r="C10" s="290"/>
      <c r="D10" s="290"/>
      <c r="E10" s="294"/>
      <c r="F10" s="294"/>
      <c r="G10" s="294"/>
      <c r="H10" s="290"/>
    </row>
    <row r="11" spans="1:8" ht="29.25" customHeight="1">
      <c r="A11" s="154" t="s">
        <v>768</v>
      </c>
      <c r="B11" s="297" t="s">
        <v>769</v>
      </c>
      <c r="C11" s="154" t="s">
        <v>770</v>
      </c>
      <c r="D11" s="154" t="s">
        <v>771</v>
      </c>
      <c r="E11" s="298">
        <v>0</v>
      </c>
      <c r="F11" s="299">
        <v>100000</v>
      </c>
      <c r="G11" s="299">
        <v>0</v>
      </c>
      <c r="H11" s="299">
        <v>0</v>
      </c>
    </row>
    <row r="12" spans="1:8" ht="12.75">
      <c r="A12" s="154"/>
      <c r="B12" s="289" t="s">
        <v>772</v>
      </c>
      <c r="C12" s="290"/>
      <c r="D12" s="290"/>
      <c r="E12" s="294"/>
      <c r="F12" s="294"/>
      <c r="G12" s="294"/>
      <c r="H12" s="294"/>
    </row>
    <row r="13" spans="1:8" ht="12.75">
      <c r="A13" s="154"/>
      <c r="B13" s="292" t="s">
        <v>765</v>
      </c>
      <c r="C13" s="290"/>
      <c r="D13" s="290"/>
      <c r="E13" s="300">
        <v>0</v>
      </c>
      <c r="F13" s="291">
        <v>100000</v>
      </c>
      <c r="G13" s="291">
        <v>0</v>
      </c>
      <c r="H13" s="291">
        <v>0</v>
      </c>
    </row>
    <row r="14" spans="1:8" ht="31.5" customHeight="1">
      <c r="A14" s="154" t="s">
        <v>773</v>
      </c>
      <c r="B14" s="301" t="s">
        <v>774</v>
      </c>
      <c r="C14" s="154" t="s">
        <v>775</v>
      </c>
      <c r="D14" s="154" t="s">
        <v>776</v>
      </c>
      <c r="E14" s="291">
        <v>6051</v>
      </c>
      <c r="F14" s="299">
        <v>0</v>
      </c>
      <c r="G14" s="299">
        <v>0</v>
      </c>
      <c r="H14" s="291">
        <v>220296</v>
      </c>
    </row>
    <row r="15" spans="1:9" ht="42.75" customHeight="1">
      <c r="A15" s="154"/>
      <c r="B15" s="302">
        <f>B21</f>
        <v>0</v>
      </c>
      <c r="C15" s="154"/>
      <c r="D15" s="290"/>
      <c r="E15" s="294"/>
      <c r="F15" s="294"/>
      <c r="G15" s="294"/>
      <c r="H15" s="294"/>
      <c r="I15" s="303"/>
    </row>
    <row r="16" spans="1:8" ht="35.25" customHeight="1">
      <c r="A16" s="154"/>
      <c r="B16" s="292" t="s">
        <v>765</v>
      </c>
      <c r="C16" s="154"/>
      <c r="D16" s="290"/>
      <c r="E16" s="291">
        <v>6051</v>
      </c>
      <c r="F16" s="291">
        <v>0</v>
      </c>
      <c r="G16" s="291">
        <v>0</v>
      </c>
      <c r="H16" s="291">
        <v>220296</v>
      </c>
    </row>
    <row r="17" spans="1:8" ht="24.75">
      <c r="A17" s="154" t="s">
        <v>777</v>
      </c>
      <c r="B17" s="297" t="s">
        <v>778</v>
      </c>
      <c r="C17" s="154" t="s">
        <v>779</v>
      </c>
      <c r="D17" s="154" t="s">
        <v>780</v>
      </c>
      <c r="E17" s="298">
        <v>0</v>
      </c>
      <c r="F17" s="299">
        <v>0</v>
      </c>
      <c r="G17" s="299">
        <v>0</v>
      </c>
      <c r="H17" s="299">
        <v>100000</v>
      </c>
    </row>
    <row r="18" spans="1:8" ht="12.75">
      <c r="A18" s="154"/>
      <c r="B18" s="289" t="s">
        <v>772</v>
      </c>
      <c r="C18" s="290"/>
      <c r="D18" s="290"/>
      <c r="E18" s="294"/>
      <c r="F18" s="294"/>
      <c r="G18" s="294"/>
      <c r="H18" s="294"/>
    </row>
    <row r="19" spans="1:8" ht="44.25" customHeight="1">
      <c r="A19" s="154"/>
      <c r="B19" s="292" t="s">
        <v>765</v>
      </c>
      <c r="C19" s="290"/>
      <c r="D19" s="290"/>
      <c r="E19" s="300">
        <v>0</v>
      </c>
      <c r="F19" s="291">
        <v>0</v>
      </c>
      <c r="G19" s="291">
        <v>0</v>
      </c>
      <c r="H19" s="291">
        <v>100000</v>
      </c>
    </row>
    <row r="20" spans="1:8" ht="24.75">
      <c r="A20" s="154" t="s">
        <v>781</v>
      </c>
      <c r="B20" s="301" t="s">
        <v>782</v>
      </c>
      <c r="C20" s="154" t="s">
        <v>770</v>
      </c>
      <c r="D20" s="154" t="s">
        <v>780</v>
      </c>
      <c r="E20" s="291">
        <v>4441</v>
      </c>
      <c r="F20" s="299">
        <v>0</v>
      </c>
      <c r="G20" s="299">
        <v>0</v>
      </c>
      <c r="H20" s="291">
        <v>50000</v>
      </c>
    </row>
    <row r="21" spans="1:8" ht="12.75">
      <c r="A21" s="154"/>
      <c r="B21" s="302">
        <f>B18</f>
        <v>0</v>
      </c>
      <c r="C21" s="154"/>
      <c r="D21" s="154"/>
      <c r="E21" s="291"/>
      <c r="F21" s="291"/>
      <c r="G21" s="291"/>
      <c r="H21" s="291"/>
    </row>
    <row r="22" spans="1:8" ht="43.5" customHeight="1">
      <c r="A22" s="154"/>
      <c r="B22" s="292" t="s">
        <v>765</v>
      </c>
      <c r="C22" s="154"/>
      <c r="D22" s="154"/>
      <c r="E22" s="291">
        <v>4441</v>
      </c>
      <c r="F22" s="291">
        <v>0</v>
      </c>
      <c r="G22" s="291">
        <v>0</v>
      </c>
      <c r="H22" s="291">
        <v>50000</v>
      </c>
    </row>
    <row r="23" ht="12.75">
      <c r="H23" s="304" t="s">
        <v>756</v>
      </c>
    </row>
    <row r="25" ht="30.75" customHeight="1"/>
  </sheetData>
  <sheetProtection selectLockedCells="1" selectUnlockedCells="1"/>
  <mergeCells count="8">
    <mergeCell ref="F1:H1"/>
    <mergeCell ref="F2:H2"/>
    <mergeCell ref="A3:H3"/>
    <mergeCell ref="A4:A5"/>
    <mergeCell ref="B4:B5"/>
    <mergeCell ref="C4:C5"/>
    <mergeCell ref="D4:D5"/>
    <mergeCell ref="E4:H4"/>
  </mergeCells>
  <printOptions/>
  <pageMargins left="0.75" right="0.75" top="1" bottom="1"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2:J15"/>
  <sheetViews>
    <sheetView workbookViewId="0" topLeftCell="A1">
      <selection activeCell="E24" sqref="E24"/>
    </sheetView>
  </sheetViews>
  <sheetFormatPr defaultColWidth="9.00390625" defaultRowHeight="12.75"/>
  <cols>
    <col min="1" max="1" width="38.875" style="0" customWidth="1"/>
  </cols>
  <sheetData>
    <row r="2" spans="1:10" ht="12.75">
      <c r="A2" s="305"/>
      <c r="B2" s="306">
        <v>2012</v>
      </c>
      <c r="C2" s="306">
        <v>2013</v>
      </c>
      <c r="D2" s="306">
        <v>2014</v>
      </c>
      <c r="E2" s="306">
        <v>2015</v>
      </c>
      <c r="F2" s="306">
        <v>2016</v>
      </c>
      <c r="G2" s="306">
        <v>2017</v>
      </c>
      <c r="H2" s="306">
        <v>2018</v>
      </c>
      <c r="I2" s="306">
        <v>2019</v>
      </c>
      <c r="J2" s="306">
        <v>2020</v>
      </c>
    </row>
    <row r="3" spans="1:10" ht="26.25">
      <c r="A3" s="307" t="s">
        <v>783</v>
      </c>
      <c r="B3" s="305">
        <v>3072</v>
      </c>
      <c r="C3" s="305">
        <v>3072</v>
      </c>
      <c r="D3" s="305">
        <v>3072</v>
      </c>
      <c r="E3" s="305">
        <v>3162</v>
      </c>
      <c r="F3" s="305">
        <v>3162</v>
      </c>
      <c r="G3" s="305">
        <v>3162</v>
      </c>
      <c r="H3" s="305">
        <v>3162</v>
      </c>
      <c r="I3" s="305">
        <v>3372</v>
      </c>
      <c r="J3" s="305">
        <v>3372</v>
      </c>
    </row>
    <row r="4" spans="1:10" ht="26.25">
      <c r="A4" s="307" t="s">
        <v>784</v>
      </c>
      <c r="B4" s="305">
        <v>50</v>
      </c>
      <c r="C4" s="305">
        <v>50</v>
      </c>
      <c r="D4" s="305">
        <v>50</v>
      </c>
      <c r="E4" s="305">
        <v>50</v>
      </c>
      <c r="F4" s="305">
        <v>50</v>
      </c>
      <c r="G4" s="305">
        <v>50</v>
      </c>
      <c r="H4" s="305">
        <v>50</v>
      </c>
      <c r="I4" s="305">
        <v>50</v>
      </c>
      <c r="J4" s="305">
        <v>50</v>
      </c>
    </row>
    <row r="5" spans="1:10" ht="12.75">
      <c r="A5" s="305" t="s">
        <v>785</v>
      </c>
      <c r="B5" s="305">
        <v>216</v>
      </c>
      <c r="C5" s="305">
        <v>235</v>
      </c>
      <c r="D5" s="305">
        <v>230</v>
      </c>
      <c r="E5" s="305">
        <v>140</v>
      </c>
      <c r="F5" s="305">
        <v>135</v>
      </c>
      <c r="G5" s="305">
        <v>130</v>
      </c>
      <c r="H5" s="305">
        <v>125</v>
      </c>
      <c r="I5" s="305">
        <v>0</v>
      </c>
      <c r="J5" s="305">
        <v>0</v>
      </c>
    </row>
    <row r="6" spans="1:10" ht="39">
      <c r="A6" s="307" t="s">
        <v>786</v>
      </c>
      <c r="B6" s="305">
        <v>952</v>
      </c>
      <c r="C6" s="305">
        <v>832</v>
      </c>
      <c r="D6" s="305">
        <v>832</v>
      </c>
      <c r="E6" s="305">
        <v>832</v>
      </c>
      <c r="F6" s="305">
        <v>832</v>
      </c>
      <c r="G6" s="305">
        <v>832</v>
      </c>
      <c r="H6" s="305">
        <v>832</v>
      </c>
      <c r="I6" s="305">
        <v>832</v>
      </c>
      <c r="J6" s="305">
        <v>832</v>
      </c>
    </row>
    <row r="7" spans="1:10" ht="26.25">
      <c r="A7" s="307" t="s">
        <v>787</v>
      </c>
      <c r="B7" s="305">
        <v>6</v>
      </c>
      <c r="C7" s="305">
        <v>0</v>
      </c>
      <c r="D7" s="305">
        <v>0</v>
      </c>
      <c r="E7" s="305">
        <v>0</v>
      </c>
      <c r="F7" s="305">
        <v>0</v>
      </c>
      <c r="G7" s="305">
        <v>0</v>
      </c>
      <c r="H7" s="305">
        <v>0</v>
      </c>
      <c r="I7" s="305">
        <v>0</v>
      </c>
      <c r="J7" s="305">
        <v>0</v>
      </c>
    </row>
    <row r="8" spans="1:10" ht="26.25">
      <c r="A8" s="307" t="s">
        <v>788</v>
      </c>
      <c r="B8" s="305">
        <v>7254</v>
      </c>
      <c r="C8" s="305">
        <v>7294</v>
      </c>
      <c r="D8" s="305">
        <v>7344</v>
      </c>
      <c r="E8" s="305">
        <v>7394</v>
      </c>
      <c r="F8" s="305">
        <v>7394</v>
      </c>
      <c r="G8" s="305">
        <v>7394</v>
      </c>
      <c r="H8" s="305">
        <v>7394</v>
      </c>
      <c r="I8" s="305">
        <v>7394</v>
      </c>
      <c r="J8" s="305">
        <v>7394</v>
      </c>
    </row>
    <row r="9" spans="1:10" ht="26.25">
      <c r="A9" s="307" t="s">
        <v>789</v>
      </c>
      <c r="B9" s="305">
        <v>137</v>
      </c>
      <c r="C9" s="305">
        <v>64</v>
      </c>
      <c r="D9" s="305">
        <v>30</v>
      </c>
      <c r="E9" s="305">
        <v>0</v>
      </c>
      <c r="F9" s="305">
        <v>0</v>
      </c>
      <c r="G9" s="305">
        <v>0</v>
      </c>
      <c r="H9" s="305">
        <v>0</v>
      </c>
      <c r="I9" s="305">
        <v>0</v>
      </c>
      <c r="J9" s="305">
        <v>0</v>
      </c>
    </row>
    <row r="10" spans="1:10" ht="26.25">
      <c r="A10" s="307" t="s">
        <v>790</v>
      </c>
      <c r="B10" s="305">
        <v>8485</v>
      </c>
      <c r="C10" s="305">
        <v>8500</v>
      </c>
      <c r="D10" s="305">
        <v>8500</v>
      </c>
      <c r="E10" s="305">
        <v>8500</v>
      </c>
      <c r="F10" s="305">
        <v>8500</v>
      </c>
      <c r="G10" s="305">
        <v>8500</v>
      </c>
      <c r="H10" s="305">
        <v>8500</v>
      </c>
      <c r="I10" s="305">
        <v>8500</v>
      </c>
      <c r="J10" s="305">
        <v>8500</v>
      </c>
    </row>
    <row r="11" spans="1:10" ht="26.25">
      <c r="A11" s="307" t="s">
        <v>791</v>
      </c>
      <c r="B11" s="305">
        <v>3</v>
      </c>
      <c r="C11" s="305">
        <v>0</v>
      </c>
      <c r="D11" s="305">
        <v>0</v>
      </c>
      <c r="E11" s="305">
        <v>0</v>
      </c>
      <c r="F11" s="305">
        <v>0</v>
      </c>
      <c r="G11" s="305">
        <v>0</v>
      </c>
      <c r="H11" s="305">
        <v>0</v>
      </c>
      <c r="I11" s="305">
        <v>0</v>
      </c>
      <c r="J11" s="305">
        <v>0</v>
      </c>
    </row>
    <row r="12" spans="1:10" ht="12.75">
      <c r="A12" s="305"/>
      <c r="B12" s="305"/>
      <c r="C12" s="305"/>
      <c r="D12" s="305"/>
      <c r="E12" s="305"/>
      <c r="F12" s="305"/>
      <c r="G12" s="305"/>
      <c r="H12" s="305"/>
      <c r="I12" s="305"/>
      <c r="J12" s="305"/>
    </row>
    <row r="13" spans="1:10" ht="26.25">
      <c r="A13" s="308" t="s">
        <v>792</v>
      </c>
      <c r="B13" s="309">
        <f>B3+B4+B6+B8+B10</f>
        <v>19813</v>
      </c>
      <c r="C13" s="309">
        <f aca="true" t="shared" si="0" ref="C13:J13">C3+C4+C6+C8+C10</f>
        <v>19748</v>
      </c>
      <c r="D13" s="309">
        <f t="shared" si="0"/>
        <v>19798</v>
      </c>
      <c r="E13" s="309">
        <f t="shared" si="0"/>
        <v>19938</v>
      </c>
      <c r="F13" s="309">
        <f t="shared" si="0"/>
        <v>19938</v>
      </c>
      <c r="G13" s="309">
        <f t="shared" si="0"/>
        <v>19938</v>
      </c>
      <c r="H13" s="309">
        <f t="shared" si="0"/>
        <v>19938</v>
      </c>
      <c r="I13" s="309">
        <f t="shared" si="0"/>
        <v>20148</v>
      </c>
      <c r="J13" s="309">
        <f t="shared" si="0"/>
        <v>20148</v>
      </c>
    </row>
    <row r="14" spans="1:10" ht="26.25">
      <c r="A14" s="308" t="s">
        <v>793</v>
      </c>
      <c r="B14" s="309">
        <f>SUM(B3:B11)</f>
        <v>20175</v>
      </c>
      <c r="C14" s="309">
        <f aca="true" t="shared" si="1" ref="C14:J14">SUM(C3:C11)</f>
        <v>20047</v>
      </c>
      <c r="D14" s="309">
        <f t="shared" si="1"/>
        <v>20058</v>
      </c>
      <c r="E14" s="309">
        <f>SUM(E3:E11)</f>
        <v>20078</v>
      </c>
      <c r="F14" s="309">
        <f t="shared" si="1"/>
        <v>20073</v>
      </c>
      <c r="G14" s="309">
        <f t="shared" si="1"/>
        <v>20068</v>
      </c>
      <c r="H14" s="309">
        <f t="shared" si="1"/>
        <v>20063</v>
      </c>
      <c r="I14" s="309">
        <f t="shared" si="1"/>
        <v>20148</v>
      </c>
      <c r="J14" s="309">
        <f t="shared" si="1"/>
        <v>20148</v>
      </c>
    </row>
    <row r="15" spans="1:10" ht="52.5">
      <c r="A15" s="308" t="s">
        <v>794</v>
      </c>
      <c r="B15" s="310">
        <f>B13/B14*100</f>
        <v>98.20570012391573</v>
      </c>
      <c r="C15" s="310">
        <f aca="true" t="shared" si="2" ref="C15:J15">C13/C14*100</f>
        <v>98.50850501321894</v>
      </c>
      <c r="D15" s="310">
        <f t="shared" si="2"/>
        <v>98.70375909861401</v>
      </c>
      <c r="E15" s="310">
        <f t="shared" si="2"/>
        <v>99.30271939436199</v>
      </c>
      <c r="F15" s="310">
        <f t="shared" si="2"/>
        <v>99.32745479001645</v>
      </c>
      <c r="G15" s="310">
        <f t="shared" si="2"/>
        <v>99.35220251146103</v>
      </c>
      <c r="H15" s="310">
        <f t="shared" si="2"/>
        <v>99.37696256791108</v>
      </c>
      <c r="I15" s="310">
        <f t="shared" si="2"/>
        <v>100</v>
      </c>
      <c r="J15" s="310">
        <f t="shared" si="2"/>
        <v>100</v>
      </c>
    </row>
  </sheetData>
  <sheetProtection selectLockedCells="1" selectUnlockedCells="1"/>
  <printOptions/>
  <pageMargins left="0.75" right="0.75" top="1" bottom="1"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V93"/>
  <sheetViews>
    <sheetView zoomScale="95" zoomScaleNormal="95" zoomScaleSheetLayoutView="80" workbookViewId="0" topLeftCell="A88">
      <selection activeCell="G88" sqref="G88"/>
    </sheetView>
  </sheetViews>
  <sheetFormatPr defaultColWidth="9.00390625" defaultRowHeight="12.75"/>
  <cols>
    <col min="1" max="1" width="4.50390625" style="56" customWidth="1"/>
    <col min="2" max="2" width="52.125" style="57" customWidth="1"/>
    <col min="3" max="3" width="25.50390625" style="57" customWidth="1"/>
    <col min="4" max="5" width="10.625" style="56" customWidth="1"/>
    <col min="6" max="6" width="28.00390625" style="57" customWidth="1"/>
    <col min="7" max="7" width="21.125" style="57" customWidth="1"/>
    <col min="8" max="8" width="47.50390625" style="57" customWidth="1"/>
    <col min="9" max="9" width="25.50390625" style="56" customWidth="1"/>
    <col min="10" max="11" width="11.625" style="56" customWidth="1"/>
    <col min="12" max="16384" width="9.125" style="56" customWidth="1"/>
  </cols>
  <sheetData>
    <row r="1" spans="1:8" ht="15">
      <c r="A1" s="58"/>
      <c r="B1" s="59"/>
      <c r="C1" s="59"/>
      <c r="D1" s="59"/>
      <c r="E1" s="59"/>
      <c r="F1" s="59"/>
      <c r="G1" s="59"/>
      <c r="H1" s="59"/>
    </row>
    <row r="2" spans="1:8" ht="15.75" customHeight="1">
      <c r="A2" s="58"/>
      <c r="B2" s="58"/>
      <c r="C2" s="59" t="s">
        <v>114</v>
      </c>
      <c r="D2" s="59"/>
      <c r="E2" s="59"/>
      <c r="F2" s="59"/>
      <c r="G2" s="59"/>
      <c r="H2" s="59"/>
    </row>
    <row r="3" spans="2:8" s="60" customFormat="1" ht="15">
      <c r="B3" s="61"/>
      <c r="C3" s="61"/>
      <c r="F3" s="62"/>
      <c r="G3" s="62"/>
      <c r="H3" s="63"/>
    </row>
    <row r="4" spans="1:8" s="65" customFormat="1" ht="15" customHeight="1">
      <c r="A4" s="64" t="s">
        <v>115</v>
      </c>
      <c r="B4" s="64"/>
      <c r="C4" s="64"/>
      <c r="D4" s="64"/>
      <c r="E4" s="64"/>
      <c r="F4" s="64"/>
      <c r="G4" s="64"/>
      <c r="H4" s="64"/>
    </row>
    <row r="5" spans="1:8" s="68" customFormat="1" ht="12.75">
      <c r="A5" s="66"/>
      <c r="B5" s="67"/>
      <c r="C5" s="67"/>
      <c r="D5" s="67"/>
      <c r="E5" s="67"/>
      <c r="F5" s="67"/>
      <c r="G5" s="67"/>
      <c r="H5" s="67"/>
    </row>
    <row r="6" spans="1:8" s="68" customFormat="1" ht="38.25" customHeight="1">
      <c r="A6" s="69" t="s">
        <v>116</v>
      </c>
      <c r="B6" s="69" t="s">
        <v>117</v>
      </c>
      <c r="C6" s="69" t="s">
        <v>118</v>
      </c>
      <c r="D6" s="69" t="s">
        <v>119</v>
      </c>
      <c r="E6" s="69"/>
      <c r="F6" s="70" t="s">
        <v>120</v>
      </c>
      <c r="G6" s="69" t="s">
        <v>121</v>
      </c>
      <c r="H6" s="69" t="s">
        <v>122</v>
      </c>
    </row>
    <row r="7" spans="1:9" s="72" customFormat="1" ht="57" customHeight="1">
      <c r="A7" s="69"/>
      <c r="B7" s="69"/>
      <c r="C7" s="69"/>
      <c r="D7" s="69" t="s">
        <v>123</v>
      </c>
      <c r="E7" s="69" t="s">
        <v>124</v>
      </c>
      <c r="F7" s="70"/>
      <c r="G7" s="70"/>
      <c r="H7" s="70"/>
      <c r="I7" s="71"/>
    </row>
    <row r="8" spans="1:8" s="72" customFormat="1" ht="15" customHeight="1">
      <c r="A8" s="69">
        <v>1</v>
      </c>
      <c r="B8" s="69">
        <v>2</v>
      </c>
      <c r="C8" s="69">
        <v>3</v>
      </c>
      <c r="D8" s="69">
        <v>4</v>
      </c>
      <c r="E8" s="69">
        <v>5</v>
      </c>
      <c r="F8" s="69">
        <v>6</v>
      </c>
      <c r="G8" s="69">
        <v>7</v>
      </c>
      <c r="H8" s="69">
        <v>8</v>
      </c>
    </row>
    <row r="9" spans="1:8" ht="21" customHeight="1">
      <c r="A9" s="73" t="s">
        <v>18</v>
      </c>
      <c r="B9" s="73"/>
      <c r="C9" s="73"/>
      <c r="D9" s="73"/>
      <c r="E9" s="73"/>
      <c r="F9" s="73"/>
      <c r="G9" s="73"/>
      <c r="H9" s="73"/>
    </row>
    <row r="10" spans="1:8" ht="21.75" customHeight="1">
      <c r="A10" s="73" t="s">
        <v>125</v>
      </c>
      <c r="B10" s="73"/>
      <c r="C10" s="73"/>
      <c r="D10" s="73"/>
      <c r="E10" s="73"/>
      <c r="F10" s="73"/>
      <c r="G10" s="73"/>
      <c r="H10" s="73"/>
    </row>
    <row r="11" spans="1:8" s="57" customFormat="1" ht="114" customHeight="1">
      <c r="A11" s="74" t="s">
        <v>11</v>
      </c>
      <c r="B11" s="75" t="s">
        <v>126</v>
      </c>
      <c r="C11" s="76" t="s">
        <v>127</v>
      </c>
      <c r="D11" s="70" t="s">
        <v>128</v>
      </c>
      <c r="E11" s="70" t="s">
        <v>129</v>
      </c>
      <c r="F11" s="77" t="s">
        <v>130</v>
      </c>
      <c r="G11" s="77" t="s">
        <v>131</v>
      </c>
      <c r="H11" s="77" t="s">
        <v>132</v>
      </c>
    </row>
    <row r="12" spans="1:8" s="57" customFormat="1" ht="133.5" customHeight="1">
      <c r="A12" s="74" t="s">
        <v>14</v>
      </c>
      <c r="B12" s="78" t="s">
        <v>133</v>
      </c>
      <c r="C12" s="76" t="s">
        <v>134</v>
      </c>
      <c r="D12" s="70" t="s">
        <v>128</v>
      </c>
      <c r="E12" s="70" t="s">
        <v>129</v>
      </c>
      <c r="F12" s="79" t="s">
        <v>135</v>
      </c>
      <c r="G12" s="79" t="s">
        <v>131</v>
      </c>
      <c r="H12" s="77" t="s">
        <v>136</v>
      </c>
    </row>
    <row r="13" spans="1:8" s="57" customFormat="1" ht="132" customHeight="1">
      <c r="A13" s="74" t="s">
        <v>16</v>
      </c>
      <c r="B13" s="78" t="s">
        <v>137</v>
      </c>
      <c r="C13" s="76" t="s">
        <v>134</v>
      </c>
      <c r="D13" s="70" t="s">
        <v>128</v>
      </c>
      <c r="E13" s="70" t="s">
        <v>129</v>
      </c>
      <c r="F13" s="79" t="s">
        <v>130</v>
      </c>
      <c r="G13" s="79" t="s">
        <v>138</v>
      </c>
      <c r="H13" s="77" t="s">
        <v>136</v>
      </c>
    </row>
    <row r="14" spans="1:8" s="57" customFormat="1" ht="135" customHeight="1">
      <c r="A14" s="74" t="s">
        <v>20</v>
      </c>
      <c r="B14" s="80" t="s">
        <v>139</v>
      </c>
      <c r="C14" s="76" t="s">
        <v>134</v>
      </c>
      <c r="D14" s="70" t="s">
        <v>128</v>
      </c>
      <c r="E14" s="70" t="s">
        <v>129</v>
      </c>
      <c r="F14" s="79" t="s">
        <v>130</v>
      </c>
      <c r="G14" s="79" t="s">
        <v>131</v>
      </c>
      <c r="H14" s="77" t="s">
        <v>132</v>
      </c>
    </row>
    <row r="15" spans="1:8" s="57" customFormat="1" ht="124.5" customHeight="1">
      <c r="A15" s="74" t="s">
        <v>24</v>
      </c>
      <c r="B15" s="81" t="s">
        <v>140</v>
      </c>
      <c r="C15" s="76" t="s">
        <v>134</v>
      </c>
      <c r="D15" s="70" t="s">
        <v>128</v>
      </c>
      <c r="E15" s="70" t="s">
        <v>129</v>
      </c>
      <c r="F15" s="79" t="s">
        <v>130</v>
      </c>
      <c r="G15" s="79" t="s">
        <v>131</v>
      </c>
      <c r="H15" s="77" t="s">
        <v>132</v>
      </c>
    </row>
    <row r="16" spans="1:8" s="57" customFormat="1" ht="121.5" customHeight="1">
      <c r="A16" s="74" t="s">
        <v>26</v>
      </c>
      <c r="B16" s="81" t="s">
        <v>141</v>
      </c>
      <c r="C16" s="76" t="s">
        <v>134</v>
      </c>
      <c r="D16" s="70" t="s">
        <v>128</v>
      </c>
      <c r="E16" s="70" t="s">
        <v>129</v>
      </c>
      <c r="F16" s="79" t="s">
        <v>130</v>
      </c>
      <c r="G16" s="79" t="s">
        <v>131</v>
      </c>
      <c r="H16" s="77" t="s">
        <v>136</v>
      </c>
    </row>
    <row r="17" spans="1:8" s="57" customFormat="1" ht="129.75" customHeight="1">
      <c r="A17" s="74" t="s">
        <v>37</v>
      </c>
      <c r="B17" s="81" t="s">
        <v>142</v>
      </c>
      <c r="C17" s="76" t="s">
        <v>134</v>
      </c>
      <c r="D17" s="70" t="s">
        <v>128</v>
      </c>
      <c r="E17" s="70" t="s">
        <v>129</v>
      </c>
      <c r="F17" s="82" t="s">
        <v>130</v>
      </c>
      <c r="G17" s="79" t="s">
        <v>131</v>
      </c>
      <c r="H17" s="77" t="s">
        <v>132</v>
      </c>
    </row>
    <row r="18" spans="1:8" s="57" customFormat="1" ht="131.25" customHeight="1">
      <c r="A18" s="74" t="s">
        <v>39</v>
      </c>
      <c r="B18" s="81" t="s">
        <v>143</v>
      </c>
      <c r="C18" s="76" t="s">
        <v>134</v>
      </c>
      <c r="D18" s="70" t="s">
        <v>128</v>
      </c>
      <c r="E18" s="70" t="s">
        <v>129</v>
      </c>
      <c r="F18" s="82" t="s">
        <v>130</v>
      </c>
      <c r="G18" s="79" t="s">
        <v>144</v>
      </c>
      <c r="H18" s="77" t="s">
        <v>145</v>
      </c>
    </row>
    <row r="19" spans="1:8" s="57" customFormat="1" ht="131.25" customHeight="1">
      <c r="A19" s="74" t="s">
        <v>42</v>
      </c>
      <c r="B19" s="81" t="s">
        <v>146</v>
      </c>
      <c r="C19" s="76" t="s">
        <v>134</v>
      </c>
      <c r="D19" s="70" t="s">
        <v>128</v>
      </c>
      <c r="E19" s="70" t="s">
        <v>129</v>
      </c>
      <c r="F19" s="79" t="s">
        <v>130</v>
      </c>
      <c r="G19" s="79" t="s">
        <v>131</v>
      </c>
      <c r="H19" s="77" t="s">
        <v>147</v>
      </c>
    </row>
    <row r="20" spans="1:8" s="57" customFormat="1" ht="108" customHeight="1">
      <c r="A20" s="74" t="s">
        <v>45</v>
      </c>
      <c r="B20" s="83" t="s">
        <v>148</v>
      </c>
      <c r="C20" s="76" t="s">
        <v>134</v>
      </c>
      <c r="D20" s="70" t="s">
        <v>128</v>
      </c>
      <c r="E20" s="70" t="s">
        <v>129</v>
      </c>
      <c r="F20" s="79" t="s">
        <v>130</v>
      </c>
      <c r="G20" s="79" t="s">
        <v>131</v>
      </c>
      <c r="H20" s="77" t="s">
        <v>149</v>
      </c>
    </row>
    <row r="21" spans="1:8" s="57" customFormat="1" ht="111" customHeight="1">
      <c r="A21" s="74" t="s">
        <v>47</v>
      </c>
      <c r="B21" s="81" t="s">
        <v>150</v>
      </c>
      <c r="C21" s="76" t="s">
        <v>134</v>
      </c>
      <c r="D21" s="70" t="s">
        <v>128</v>
      </c>
      <c r="E21" s="70" t="s">
        <v>129</v>
      </c>
      <c r="F21" s="79" t="s">
        <v>130</v>
      </c>
      <c r="G21" s="79" t="s">
        <v>131</v>
      </c>
      <c r="H21" s="77" t="s">
        <v>151</v>
      </c>
    </row>
    <row r="22" spans="1:8" s="57" customFormat="1" ht="114" customHeight="1">
      <c r="A22" s="74" t="s">
        <v>49</v>
      </c>
      <c r="B22" s="84" t="s">
        <v>152</v>
      </c>
      <c r="C22" s="76" t="s">
        <v>134</v>
      </c>
      <c r="D22" s="70" t="s">
        <v>128</v>
      </c>
      <c r="E22" s="70" t="s">
        <v>129</v>
      </c>
      <c r="F22" s="79" t="s">
        <v>130</v>
      </c>
      <c r="G22" s="79" t="s">
        <v>131</v>
      </c>
      <c r="H22" s="77" t="s">
        <v>136</v>
      </c>
    </row>
    <row r="23" spans="1:8" s="57" customFormat="1" ht="110.25" customHeight="1">
      <c r="A23" s="74" t="s">
        <v>53</v>
      </c>
      <c r="B23" s="80" t="s">
        <v>153</v>
      </c>
      <c r="C23" s="76" t="s">
        <v>134</v>
      </c>
      <c r="D23" s="70" t="s">
        <v>128</v>
      </c>
      <c r="E23" s="70" t="s">
        <v>129</v>
      </c>
      <c r="F23" s="79" t="s">
        <v>130</v>
      </c>
      <c r="G23" s="79" t="s">
        <v>131</v>
      </c>
      <c r="H23" s="77" t="s">
        <v>136</v>
      </c>
    </row>
    <row r="24" spans="1:8" s="57" customFormat="1" ht="108.75" customHeight="1">
      <c r="A24" s="74" t="s">
        <v>56</v>
      </c>
      <c r="B24" s="81" t="s">
        <v>154</v>
      </c>
      <c r="C24" s="76" t="s">
        <v>134</v>
      </c>
      <c r="D24" s="70" t="s">
        <v>128</v>
      </c>
      <c r="E24" s="70" t="s">
        <v>129</v>
      </c>
      <c r="F24" s="79" t="s">
        <v>130</v>
      </c>
      <c r="G24" s="79" t="s">
        <v>131</v>
      </c>
      <c r="H24" s="77" t="s">
        <v>136</v>
      </c>
    </row>
    <row r="25" spans="1:8" s="57" customFormat="1" ht="108" customHeight="1">
      <c r="A25" s="74" t="s">
        <v>58</v>
      </c>
      <c r="B25" s="78" t="s">
        <v>155</v>
      </c>
      <c r="C25" s="76" t="s">
        <v>134</v>
      </c>
      <c r="D25" s="70" t="s">
        <v>128</v>
      </c>
      <c r="E25" s="70" t="s">
        <v>129</v>
      </c>
      <c r="F25" s="79" t="s">
        <v>130</v>
      </c>
      <c r="G25" s="79" t="s">
        <v>131</v>
      </c>
      <c r="H25" s="77" t="s">
        <v>136</v>
      </c>
    </row>
    <row r="26" spans="1:8" s="57" customFormat="1" ht="110.25" customHeight="1">
      <c r="A26" s="74" t="s">
        <v>60</v>
      </c>
      <c r="B26" s="78" t="s">
        <v>156</v>
      </c>
      <c r="C26" s="76" t="s">
        <v>134</v>
      </c>
      <c r="D26" s="70" t="s">
        <v>128</v>
      </c>
      <c r="E26" s="70" t="s">
        <v>129</v>
      </c>
      <c r="F26" s="79" t="s">
        <v>130</v>
      </c>
      <c r="G26" s="79" t="s">
        <v>131</v>
      </c>
      <c r="H26" s="77" t="s">
        <v>132</v>
      </c>
    </row>
    <row r="27" spans="1:8" s="57" customFormat="1" ht="107.25" customHeight="1">
      <c r="A27" s="74" t="s">
        <v>62</v>
      </c>
      <c r="B27" s="80" t="s">
        <v>157</v>
      </c>
      <c r="C27" s="76" t="s">
        <v>134</v>
      </c>
      <c r="D27" s="70" t="s">
        <v>128</v>
      </c>
      <c r="E27" s="70" t="s">
        <v>129</v>
      </c>
      <c r="F27" s="79" t="s">
        <v>130</v>
      </c>
      <c r="G27" s="79" t="s">
        <v>131</v>
      </c>
      <c r="H27" s="77" t="s">
        <v>158</v>
      </c>
    </row>
    <row r="28" spans="1:8" s="57" customFormat="1" ht="122.25" customHeight="1">
      <c r="A28" s="74" t="s">
        <v>64</v>
      </c>
      <c r="B28" s="78" t="s">
        <v>159</v>
      </c>
      <c r="C28" s="76" t="s">
        <v>134</v>
      </c>
      <c r="D28" s="70" t="s">
        <v>128</v>
      </c>
      <c r="E28" s="70" t="s">
        <v>129</v>
      </c>
      <c r="F28" s="79" t="s">
        <v>130</v>
      </c>
      <c r="G28" s="79" t="s">
        <v>131</v>
      </c>
      <c r="H28" s="77" t="s">
        <v>151</v>
      </c>
    </row>
    <row r="29" spans="1:8" s="57" customFormat="1" ht="111.75" customHeight="1">
      <c r="A29" s="74" t="s">
        <v>66</v>
      </c>
      <c r="B29" s="84" t="s">
        <v>160</v>
      </c>
      <c r="C29" s="76" t="s">
        <v>134</v>
      </c>
      <c r="D29" s="70" t="s">
        <v>128</v>
      </c>
      <c r="E29" s="70" t="s">
        <v>129</v>
      </c>
      <c r="F29" s="79" t="s">
        <v>130</v>
      </c>
      <c r="G29" s="79" t="s">
        <v>131</v>
      </c>
      <c r="H29" s="77" t="s">
        <v>151</v>
      </c>
    </row>
    <row r="30" spans="1:8" s="57" customFormat="1" ht="115.5" customHeight="1">
      <c r="A30" s="74" t="s">
        <v>68</v>
      </c>
      <c r="B30" s="85" t="s">
        <v>161</v>
      </c>
      <c r="C30" s="76" t="s">
        <v>162</v>
      </c>
      <c r="D30" s="70" t="s">
        <v>128</v>
      </c>
      <c r="E30" s="70" t="s">
        <v>129</v>
      </c>
      <c r="F30" s="79" t="s">
        <v>130</v>
      </c>
      <c r="G30" s="79" t="s">
        <v>131</v>
      </c>
      <c r="H30" s="77" t="s">
        <v>136</v>
      </c>
    </row>
    <row r="31" spans="1:8" s="57" customFormat="1" ht="108" customHeight="1">
      <c r="A31" s="74" t="s">
        <v>70</v>
      </c>
      <c r="B31" s="81" t="s">
        <v>163</v>
      </c>
      <c r="C31" s="76" t="s">
        <v>134</v>
      </c>
      <c r="D31" s="70" t="s">
        <v>128</v>
      </c>
      <c r="E31" s="70" t="s">
        <v>129</v>
      </c>
      <c r="F31" s="77" t="s">
        <v>164</v>
      </c>
      <c r="G31" s="77" t="s">
        <v>165</v>
      </c>
      <c r="H31" s="77" t="s">
        <v>136</v>
      </c>
    </row>
    <row r="32" spans="1:8" s="57" customFormat="1" ht="104.25" customHeight="1">
      <c r="A32" s="74" t="s">
        <v>73</v>
      </c>
      <c r="B32" s="86" t="s">
        <v>166</v>
      </c>
      <c r="C32" s="76" t="s">
        <v>134</v>
      </c>
      <c r="D32" s="70" t="s">
        <v>128</v>
      </c>
      <c r="E32" s="70" t="s">
        <v>129</v>
      </c>
      <c r="F32" s="79" t="s">
        <v>167</v>
      </c>
      <c r="G32" s="79" t="s">
        <v>168</v>
      </c>
      <c r="H32" s="77" t="s">
        <v>136</v>
      </c>
    </row>
    <row r="33" spans="1:8" s="57" customFormat="1" ht="105.75" customHeight="1">
      <c r="A33" s="74" t="s">
        <v>75</v>
      </c>
      <c r="B33" s="81" t="s">
        <v>169</v>
      </c>
      <c r="C33" s="76" t="s">
        <v>134</v>
      </c>
      <c r="D33" s="70" t="s">
        <v>128</v>
      </c>
      <c r="E33" s="70" t="s">
        <v>129</v>
      </c>
      <c r="F33" s="79" t="s">
        <v>167</v>
      </c>
      <c r="G33" s="79" t="s">
        <v>168</v>
      </c>
      <c r="H33" s="77" t="s">
        <v>136</v>
      </c>
    </row>
    <row r="34" spans="1:8" s="57" customFormat="1" ht="108" customHeight="1">
      <c r="A34" s="74" t="s">
        <v>77</v>
      </c>
      <c r="B34" s="80" t="s">
        <v>170</v>
      </c>
      <c r="C34" s="76" t="s">
        <v>134</v>
      </c>
      <c r="D34" s="70" t="s">
        <v>128</v>
      </c>
      <c r="E34" s="70" t="s">
        <v>129</v>
      </c>
      <c r="F34" s="79" t="s">
        <v>167</v>
      </c>
      <c r="G34" s="79" t="s">
        <v>171</v>
      </c>
      <c r="H34" s="77" t="s">
        <v>132</v>
      </c>
    </row>
    <row r="35" spans="1:8" s="57" customFormat="1" ht="123" customHeight="1">
      <c r="A35" s="74" t="s">
        <v>79</v>
      </c>
      <c r="B35" s="87" t="s">
        <v>172</v>
      </c>
      <c r="C35" s="76" t="s">
        <v>134</v>
      </c>
      <c r="D35" s="70" t="s">
        <v>128</v>
      </c>
      <c r="E35" s="70" t="s">
        <v>129</v>
      </c>
      <c r="F35" s="79" t="s">
        <v>130</v>
      </c>
      <c r="G35" s="79" t="s">
        <v>131</v>
      </c>
      <c r="H35" s="77" t="s">
        <v>136</v>
      </c>
    </row>
    <row r="36" spans="1:8" s="57" customFormat="1" ht="109.5" customHeight="1">
      <c r="A36" s="74" t="s">
        <v>82</v>
      </c>
      <c r="B36" s="88" t="s">
        <v>173</v>
      </c>
      <c r="C36" s="76" t="s">
        <v>134</v>
      </c>
      <c r="D36" s="70" t="s">
        <v>128</v>
      </c>
      <c r="E36" s="70" t="s">
        <v>129</v>
      </c>
      <c r="F36" s="79" t="s">
        <v>130</v>
      </c>
      <c r="G36" s="79" t="s">
        <v>131</v>
      </c>
      <c r="H36" s="77" t="s">
        <v>136</v>
      </c>
    </row>
    <row r="37" spans="1:8" s="57" customFormat="1" ht="188.25" customHeight="1">
      <c r="A37" s="74" t="s">
        <v>84</v>
      </c>
      <c r="B37" s="89" t="s">
        <v>174</v>
      </c>
      <c r="C37" s="90" t="s">
        <v>134</v>
      </c>
      <c r="D37" s="70" t="s">
        <v>128</v>
      </c>
      <c r="E37" s="70" t="s">
        <v>129</v>
      </c>
      <c r="F37" s="91" t="s">
        <v>130</v>
      </c>
      <c r="G37" s="91" t="s">
        <v>175</v>
      </c>
      <c r="H37" s="92" t="s">
        <v>176</v>
      </c>
    </row>
    <row r="38" spans="1:8" s="57" customFormat="1" ht="112.5" customHeight="1">
      <c r="A38" s="74" t="s">
        <v>86</v>
      </c>
      <c r="B38" s="93" t="s">
        <v>177</v>
      </c>
      <c r="C38" s="76" t="s">
        <v>134</v>
      </c>
      <c r="D38" s="70" t="s">
        <v>128</v>
      </c>
      <c r="E38" s="70" t="s">
        <v>129</v>
      </c>
      <c r="F38" s="79" t="s">
        <v>130</v>
      </c>
      <c r="G38" s="91" t="s">
        <v>178</v>
      </c>
      <c r="H38" s="77" t="s">
        <v>179</v>
      </c>
    </row>
    <row r="39" spans="1:8" s="57" customFormat="1" ht="102.75" customHeight="1">
      <c r="A39" s="94" t="s">
        <v>88</v>
      </c>
      <c r="B39" s="88" t="s">
        <v>180</v>
      </c>
      <c r="C39" s="90" t="s">
        <v>134</v>
      </c>
      <c r="D39" s="70" t="s">
        <v>181</v>
      </c>
      <c r="E39" s="70" t="s">
        <v>129</v>
      </c>
      <c r="F39" s="91" t="s">
        <v>130</v>
      </c>
      <c r="G39" s="91" t="s">
        <v>131</v>
      </c>
      <c r="H39" s="92" t="s">
        <v>136</v>
      </c>
    </row>
    <row r="40" spans="1:13" ht="19.5" customHeight="1">
      <c r="A40" s="73" t="s">
        <v>182</v>
      </c>
      <c r="B40" s="73"/>
      <c r="C40" s="73"/>
      <c r="D40" s="73"/>
      <c r="E40" s="73"/>
      <c r="F40" s="73"/>
      <c r="G40" s="73"/>
      <c r="H40" s="73"/>
      <c r="M40" s="95"/>
    </row>
    <row r="41" spans="1:13" s="57" customFormat="1" ht="100.5" customHeight="1">
      <c r="A41" s="96" t="s">
        <v>90</v>
      </c>
      <c r="B41" s="81" t="s">
        <v>183</v>
      </c>
      <c r="C41" s="76" t="s">
        <v>134</v>
      </c>
      <c r="D41" s="70" t="s">
        <v>128</v>
      </c>
      <c r="E41" s="70" t="s">
        <v>129</v>
      </c>
      <c r="F41" s="77" t="s">
        <v>184</v>
      </c>
      <c r="G41" s="77" t="s">
        <v>131</v>
      </c>
      <c r="H41" s="77" t="s">
        <v>185</v>
      </c>
      <c r="M41" s="97"/>
    </row>
    <row r="42" spans="1:13" s="57" customFormat="1" ht="298.5" customHeight="1">
      <c r="A42" s="96" t="s">
        <v>93</v>
      </c>
      <c r="B42" s="84" t="s">
        <v>186</v>
      </c>
      <c r="C42" s="76" t="s">
        <v>134</v>
      </c>
      <c r="D42" s="70" t="s">
        <v>128</v>
      </c>
      <c r="E42" s="70" t="s">
        <v>129</v>
      </c>
      <c r="F42" s="77" t="s">
        <v>187</v>
      </c>
      <c r="G42" s="77" t="s">
        <v>188</v>
      </c>
      <c r="H42" s="77" t="s">
        <v>189</v>
      </c>
      <c r="M42" s="97"/>
    </row>
    <row r="43" spans="1:13" s="99" customFormat="1" ht="292.5" customHeight="1">
      <c r="A43" s="98" t="s">
        <v>96</v>
      </c>
      <c r="B43" s="75" t="s">
        <v>190</v>
      </c>
      <c r="C43" s="90" t="s">
        <v>134</v>
      </c>
      <c r="D43" s="69" t="s">
        <v>181</v>
      </c>
      <c r="E43" s="69"/>
      <c r="F43" s="92" t="s">
        <v>191</v>
      </c>
      <c r="G43" s="92" t="s">
        <v>192</v>
      </c>
      <c r="H43" s="92" t="s">
        <v>193</v>
      </c>
      <c r="M43" s="100"/>
    </row>
    <row r="44" spans="1:13" s="57" customFormat="1" ht="297" customHeight="1">
      <c r="A44" s="96" t="s">
        <v>98</v>
      </c>
      <c r="B44" s="101" t="s">
        <v>194</v>
      </c>
      <c r="C44" s="76" t="s">
        <v>134</v>
      </c>
      <c r="D44" s="70" t="s">
        <v>128</v>
      </c>
      <c r="E44" s="70" t="s">
        <v>128</v>
      </c>
      <c r="F44" s="77" t="s">
        <v>195</v>
      </c>
      <c r="G44" s="77" t="s">
        <v>192</v>
      </c>
      <c r="H44" s="77" t="s">
        <v>196</v>
      </c>
      <c r="M44" s="97"/>
    </row>
    <row r="45" spans="1:13" s="57" customFormat="1" ht="108" customHeight="1">
      <c r="A45" s="96" t="s">
        <v>100</v>
      </c>
      <c r="B45" s="101" t="s">
        <v>197</v>
      </c>
      <c r="C45" s="76" t="s">
        <v>134</v>
      </c>
      <c r="D45" s="70" t="s">
        <v>128</v>
      </c>
      <c r="E45" s="70" t="s">
        <v>128</v>
      </c>
      <c r="F45" s="77" t="s">
        <v>198</v>
      </c>
      <c r="G45" s="77" t="s">
        <v>199</v>
      </c>
      <c r="H45" s="77" t="s">
        <v>200</v>
      </c>
      <c r="M45" s="97"/>
    </row>
    <row r="46" spans="1:13" ht="12.75" customHeight="1">
      <c r="A46" s="73" t="s">
        <v>201</v>
      </c>
      <c r="B46" s="73"/>
      <c r="C46" s="73"/>
      <c r="D46" s="73"/>
      <c r="E46" s="73"/>
      <c r="F46" s="73"/>
      <c r="G46" s="73"/>
      <c r="H46" s="73"/>
      <c r="M46" s="95"/>
    </row>
    <row r="47" spans="1:13" s="57" customFormat="1" ht="159" customHeight="1">
      <c r="A47" s="96" t="s">
        <v>103</v>
      </c>
      <c r="B47" s="81" t="s">
        <v>202</v>
      </c>
      <c r="C47" s="76" t="s">
        <v>134</v>
      </c>
      <c r="D47" s="70" t="s">
        <v>128</v>
      </c>
      <c r="E47" s="70" t="s">
        <v>129</v>
      </c>
      <c r="F47" s="77" t="s">
        <v>203</v>
      </c>
      <c r="G47" s="77" t="s">
        <v>204</v>
      </c>
      <c r="H47" s="77" t="s">
        <v>205</v>
      </c>
      <c r="M47" s="97"/>
    </row>
    <row r="48" spans="1:13" s="57" customFormat="1" ht="185.25" customHeight="1">
      <c r="A48" s="96" t="s">
        <v>106</v>
      </c>
      <c r="B48" s="102" t="s">
        <v>206</v>
      </c>
      <c r="C48" s="76" t="s">
        <v>134</v>
      </c>
      <c r="D48" s="70" t="s">
        <v>128</v>
      </c>
      <c r="E48" s="70" t="s">
        <v>129</v>
      </c>
      <c r="F48" s="77" t="s">
        <v>207</v>
      </c>
      <c r="G48" s="77" t="s">
        <v>208</v>
      </c>
      <c r="H48" s="77" t="s">
        <v>209</v>
      </c>
      <c r="M48" s="97"/>
    </row>
    <row r="49" spans="1:13" s="57" customFormat="1" ht="122.25" customHeight="1">
      <c r="A49" s="96" t="s">
        <v>110</v>
      </c>
      <c r="B49" s="81" t="s">
        <v>210</v>
      </c>
      <c r="C49" s="76" t="s">
        <v>134</v>
      </c>
      <c r="D49" s="70" t="s">
        <v>128</v>
      </c>
      <c r="E49" s="70" t="s">
        <v>129</v>
      </c>
      <c r="F49" s="77" t="s">
        <v>211</v>
      </c>
      <c r="G49" s="77" t="s">
        <v>212</v>
      </c>
      <c r="H49" s="77" t="s">
        <v>213</v>
      </c>
      <c r="M49" s="97"/>
    </row>
    <row r="50" spans="1:13" s="57" customFormat="1" ht="128.25" customHeight="1">
      <c r="A50" s="96" t="s">
        <v>113</v>
      </c>
      <c r="B50" s="81" t="s">
        <v>214</v>
      </c>
      <c r="C50" s="76" t="s">
        <v>134</v>
      </c>
      <c r="D50" s="70" t="s">
        <v>128</v>
      </c>
      <c r="E50" s="70" t="s">
        <v>129</v>
      </c>
      <c r="F50" s="77" t="s">
        <v>215</v>
      </c>
      <c r="G50" s="77" t="s">
        <v>216</v>
      </c>
      <c r="H50" s="77" t="s">
        <v>217</v>
      </c>
      <c r="M50" s="97"/>
    </row>
    <row r="51" spans="1:13" s="57" customFormat="1" ht="141" customHeight="1">
      <c r="A51" s="103" t="s">
        <v>218</v>
      </c>
      <c r="B51" s="101" t="s">
        <v>219</v>
      </c>
      <c r="C51" s="76" t="s">
        <v>134</v>
      </c>
      <c r="D51" s="70" t="s">
        <v>128</v>
      </c>
      <c r="E51" s="70" t="s">
        <v>129</v>
      </c>
      <c r="F51" s="77" t="s">
        <v>220</v>
      </c>
      <c r="G51" s="77" t="s">
        <v>221</v>
      </c>
      <c r="H51" s="77" t="s">
        <v>213</v>
      </c>
      <c r="M51" s="97"/>
    </row>
    <row r="52" spans="1:13" s="57" customFormat="1" ht="125.25" customHeight="1">
      <c r="A52" s="104" t="s">
        <v>222</v>
      </c>
      <c r="B52" s="88" t="s">
        <v>223</v>
      </c>
      <c r="C52" s="76" t="s">
        <v>134</v>
      </c>
      <c r="D52" s="70" t="s">
        <v>128</v>
      </c>
      <c r="E52" s="70" t="s">
        <v>129</v>
      </c>
      <c r="F52" s="79" t="s">
        <v>224</v>
      </c>
      <c r="G52" s="79" t="s">
        <v>225</v>
      </c>
      <c r="H52" s="77" t="s">
        <v>136</v>
      </c>
      <c r="M52" s="97"/>
    </row>
    <row r="53" spans="1:22" s="106" customFormat="1" ht="147" customHeight="1">
      <c r="A53" s="104" t="s">
        <v>226</v>
      </c>
      <c r="B53" s="105" t="s">
        <v>227</v>
      </c>
      <c r="C53" s="90" t="s">
        <v>134</v>
      </c>
      <c r="D53" s="70" t="s">
        <v>128</v>
      </c>
      <c r="E53" s="70" t="s">
        <v>129</v>
      </c>
      <c r="F53" s="91" t="s">
        <v>220</v>
      </c>
      <c r="G53" s="91" t="s">
        <v>228</v>
      </c>
      <c r="H53" s="92" t="s">
        <v>213</v>
      </c>
      <c r="I53" s="99"/>
      <c r="J53" s="99"/>
      <c r="K53" s="99"/>
      <c r="L53" s="99"/>
      <c r="M53" s="100"/>
      <c r="N53" s="99"/>
      <c r="O53" s="99"/>
      <c r="P53" s="99"/>
      <c r="Q53" s="99"/>
      <c r="R53" s="99"/>
      <c r="S53" s="99"/>
      <c r="T53" s="99"/>
      <c r="U53" s="99"/>
      <c r="V53" s="99"/>
    </row>
    <row r="54" spans="1:22" s="106" customFormat="1" ht="137.25" customHeight="1">
      <c r="A54" s="104" t="s">
        <v>229</v>
      </c>
      <c r="B54" s="75" t="s">
        <v>230</v>
      </c>
      <c r="C54" s="90" t="s">
        <v>134</v>
      </c>
      <c r="D54" s="70" t="s">
        <v>128</v>
      </c>
      <c r="E54" s="70" t="s">
        <v>129</v>
      </c>
      <c r="F54" s="92" t="s">
        <v>211</v>
      </c>
      <c r="G54" s="92" t="s">
        <v>231</v>
      </c>
      <c r="H54" s="92" t="s">
        <v>232</v>
      </c>
      <c r="I54" s="99"/>
      <c r="J54" s="99"/>
      <c r="K54" s="99"/>
      <c r="L54" s="99"/>
      <c r="M54" s="100"/>
      <c r="N54" s="99"/>
      <c r="O54" s="99"/>
      <c r="P54" s="99"/>
      <c r="Q54" s="99"/>
      <c r="R54" s="99"/>
      <c r="S54" s="99"/>
      <c r="T54" s="99"/>
      <c r="U54" s="99"/>
      <c r="V54" s="99"/>
    </row>
    <row r="55" spans="1:13" ht="21.75" customHeight="1">
      <c r="A55" s="73" t="s">
        <v>41</v>
      </c>
      <c r="B55" s="73"/>
      <c r="C55" s="73"/>
      <c r="D55" s="73"/>
      <c r="E55" s="73"/>
      <c r="F55" s="73"/>
      <c r="G55" s="73"/>
      <c r="H55" s="73"/>
      <c r="M55" s="95"/>
    </row>
    <row r="56" spans="1:13" s="57" customFormat="1" ht="104.25" customHeight="1">
      <c r="A56" s="96" t="s">
        <v>233</v>
      </c>
      <c r="B56" s="77" t="s">
        <v>234</v>
      </c>
      <c r="C56" s="76" t="s">
        <v>134</v>
      </c>
      <c r="D56" s="70" t="s">
        <v>128</v>
      </c>
      <c r="E56" s="70" t="s">
        <v>129</v>
      </c>
      <c r="F56" s="77" t="s">
        <v>235</v>
      </c>
      <c r="G56" s="77" t="s">
        <v>236</v>
      </c>
      <c r="H56" s="77" t="s">
        <v>237</v>
      </c>
      <c r="M56" s="97"/>
    </row>
    <row r="57" spans="1:13" s="57" customFormat="1" ht="138" customHeight="1">
      <c r="A57" s="96" t="s">
        <v>238</v>
      </c>
      <c r="B57" s="77" t="s">
        <v>239</v>
      </c>
      <c r="C57" s="76" t="s">
        <v>134</v>
      </c>
      <c r="D57" s="70" t="s">
        <v>128</v>
      </c>
      <c r="E57" s="70" t="s">
        <v>129</v>
      </c>
      <c r="F57" s="77" t="s">
        <v>240</v>
      </c>
      <c r="G57" s="77" t="s">
        <v>236</v>
      </c>
      <c r="H57" s="77" t="s">
        <v>241</v>
      </c>
      <c r="M57" s="97"/>
    </row>
    <row r="58" spans="1:13" s="57" customFormat="1" ht="108.75" customHeight="1">
      <c r="A58" s="96" t="s">
        <v>242</v>
      </c>
      <c r="B58" s="77" t="s">
        <v>243</v>
      </c>
      <c r="C58" s="76" t="s">
        <v>134</v>
      </c>
      <c r="D58" s="70" t="s">
        <v>128</v>
      </c>
      <c r="E58" s="70" t="s">
        <v>129</v>
      </c>
      <c r="F58" s="77" t="s">
        <v>244</v>
      </c>
      <c r="G58" s="77" t="s">
        <v>245</v>
      </c>
      <c r="H58" s="77" t="s">
        <v>246</v>
      </c>
      <c r="M58" s="97"/>
    </row>
    <row r="59" spans="1:13" s="57" customFormat="1" ht="144.75" customHeight="1">
      <c r="A59" s="70" t="s">
        <v>247</v>
      </c>
      <c r="B59" s="77" t="s">
        <v>248</v>
      </c>
      <c r="C59" s="76" t="s">
        <v>134</v>
      </c>
      <c r="D59" s="70" t="s">
        <v>128</v>
      </c>
      <c r="E59" s="70" t="s">
        <v>129</v>
      </c>
      <c r="F59" s="77" t="s">
        <v>249</v>
      </c>
      <c r="G59" s="77" t="s">
        <v>236</v>
      </c>
      <c r="H59" s="77" t="s">
        <v>250</v>
      </c>
      <c r="M59" s="97"/>
    </row>
    <row r="60" spans="1:13" ht="18.75" customHeight="1">
      <c r="A60" s="73" t="s">
        <v>251</v>
      </c>
      <c r="B60" s="73"/>
      <c r="C60" s="73"/>
      <c r="D60" s="73"/>
      <c r="E60" s="73"/>
      <c r="F60" s="73"/>
      <c r="G60" s="73"/>
      <c r="H60" s="73"/>
      <c r="M60" s="95"/>
    </row>
    <row r="61" spans="1:13" ht="18.75" customHeight="1">
      <c r="A61" s="107" t="s">
        <v>52</v>
      </c>
      <c r="B61" s="107"/>
      <c r="C61" s="107"/>
      <c r="D61" s="107"/>
      <c r="E61" s="107"/>
      <c r="F61" s="107"/>
      <c r="G61" s="107"/>
      <c r="H61" s="107"/>
      <c r="M61" s="95"/>
    </row>
    <row r="62" spans="1:13" s="57" customFormat="1" ht="161.25" customHeight="1">
      <c r="A62" s="70" t="s">
        <v>252</v>
      </c>
      <c r="B62" s="92" t="s">
        <v>253</v>
      </c>
      <c r="C62" s="76" t="s">
        <v>254</v>
      </c>
      <c r="D62" s="70" t="s">
        <v>128</v>
      </c>
      <c r="E62" s="70" t="s">
        <v>129</v>
      </c>
      <c r="F62" s="77" t="s">
        <v>255</v>
      </c>
      <c r="G62" s="77" t="s">
        <v>256</v>
      </c>
      <c r="H62" s="77" t="s">
        <v>257</v>
      </c>
      <c r="I62" s="108"/>
      <c r="J62" s="108"/>
      <c r="K62" s="108"/>
      <c r="M62" s="97"/>
    </row>
    <row r="63" spans="1:13" s="57" customFormat="1" ht="174" customHeight="1">
      <c r="A63" s="70"/>
      <c r="B63" s="92"/>
      <c r="C63" s="76"/>
      <c r="D63" s="70"/>
      <c r="E63" s="70"/>
      <c r="F63" s="77"/>
      <c r="G63" s="77"/>
      <c r="H63" s="77" t="s">
        <v>258</v>
      </c>
      <c r="I63" s="108"/>
      <c r="J63" s="108"/>
      <c r="K63" s="108"/>
      <c r="M63" s="97"/>
    </row>
    <row r="64" spans="1:13" s="57" customFormat="1" ht="136.5" customHeight="1">
      <c r="A64" s="70" t="s">
        <v>259</v>
      </c>
      <c r="B64" s="77" t="s">
        <v>260</v>
      </c>
      <c r="C64" s="76" t="s">
        <v>134</v>
      </c>
      <c r="D64" s="70" t="s">
        <v>128</v>
      </c>
      <c r="E64" s="70" t="s">
        <v>129</v>
      </c>
      <c r="F64" s="77" t="s">
        <v>261</v>
      </c>
      <c r="G64" s="77" t="s">
        <v>262</v>
      </c>
      <c r="H64" s="77" t="s">
        <v>263</v>
      </c>
      <c r="M64" s="97"/>
    </row>
    <row r="65" spans="1:13" s="57" customFormat="1" ht="95.25" customHeight="1">
      <c r="A65" s="70" t="s">
        <v>264</v>
      </c>
      <c r="B65" s="77" t="s">
        <v>265</v>
      </c>
      <c r="C65" s="76" t="s">
        <v>134</v>
      </c>
      <c r="D65" s="70" t="s">
        <v>128</v>
      </c>
      <c r="E65" s="70" t="s">
        <v>129</v>
      </c>
      <c r="F65" s="77" t="s">
        <v>266</v>
      </c>
      <c r="G65" s="77" t="s">
        <v>267</v>
      </c>
      <c r="H65" s="77" t="s">
        <v>71</v>
      </c>
      <c r="M65" s="97"/>
    </row>
    <row r="66" spans="1:13" ht="12.75" customHeight="1">
      <c r="A66" s="73" t="s">
        <v>72</v>
      </c>
      <c r="B66" s="73"/>
      <c r="C66" s="73"/>
      <c r="D66" s="73"/>
      <c r="E66" s="73"/>
      <c r="F66" s="73"/>
      <c r="G66" s="73"/>
      <c r="H66" s="73"/>
      <c r="M66" s="95"/>
    </row>
    <row r="67" spans="1:13" s="57" customFormat="1" ht="167.25" customHeight="1">
      <c r="A67" s="70" t="s">
        <v>268</v>
      </c>
      <c r="B67" s="77" t="s">
        <v>269</v>
      </c>
      <c r="C67" s="76" t="s">
        <v>134</v>
      </c>
      <c r="D67" s="70" t="s">
        <v>128</v>
      </c>
      <c r="E67" s="70" t="s">
        <v>129</v>
      </c>
      <c r="F67" s="77" t="s">
        <v>270</v>
      </c>
      <c r="G67" s="77" t="s">
        <v>271</v>
      </c>
      <c r="H67" s="77" t="s">
        <v>272</v>
      </c>
      <c r="M67" s="97"/>
    </row>
    <row r="68" spans="1:13" s="57" customFormat="1" ht="95.25" customHeight="1">
      <c r="A68" s="70" t="s">
        <v>273</v>
      </c>
      <c r="B68" s="77" t="s">
        <v>274</v>
      </c>
      <c r="C68" s="76" t="s">
        <v>134</v>
      </c>
      <c r="D68" s="70" t="s">
        <v>128</v>
      </c>
      <c r="E68" s="70" t="s">
        <v>129</v>
      </c>
      <c r="F68" s="77" t="s">
        <v>275</v>
      </c>
      <c r="G68" s="77" t="s">
        <v>276</v>
      </c>
      <c r="H68" s="77" t="s">
        <v>277</v>
      </c>
      <c r="M68" s="97"/>
    </row>
    <row r="69" spans="1:13" ht="18.75" customHeight="1">
      <c r="A69" s="73" t="s">
        <v>81</v>
      </c>
      <c r="B69" s="73"/>
      <c r="C69" s="73"/>
      <c r="D69" s="73"/>
      <c r="E69" s="73"/>
      <c r="F69" s="73"/>
      <c r="G69" s="73"/>
      <c r="H69" s="73"/>
      <c r="M69" s="95"/>
    </row>
    <row r="70" spans="1:13" s="57" customFormat="1" ht="98.25" customHeight="1">
      <c r="A70" s="96" t="s">
        <v>278</v>
      </c>
      <c r="B70" s="77" t="s">
        <v>279</v>
      </c>
      <c r="C70" s="76" t="s">
        <v>134</v>
      </c>
      <c r="D70" s="70" t="s">
        <v>128</v>
      </c>
      <c r="E70" s="70" t="s">
        <v>129</v>
      </c>
      <c r="F70" s="77" t="s">
        <v>280</v>
      </c>
      <c r="G70" s="109" t="s">
        <v>281</v>
      </c>
      <c r="H70" s="79" t="s">
        <v>282</v>
      </c>
      <c r="M70" s="97"/>
    </row>
    <row r="71" spans="1:13" s="57" customFormat="1" ht="99" customHeight="1">
      <c r="A71" s="70" t="s">
        <v>283</v>
      </c>
      <c r="B71" s="77" t="s">
        <v>284</v>
      </c>
      <c r="C71" s="76" t="s">
        <v>134</v>
      </c>
      <c r="D71" s="70" t="s">
        <v>128</v>
      </c>
      <c r="E71" s="70" t="s">
        <v>129</v>
      </c>
      <c r="F71" s="77" t="s">
        <v>285</v>
      </c>
      <c r="G71" s="77" t="s">
        <v>286</v>
      </c>
      <c r="H71" s="79" t="s">
        <v>287</v>
      </c>
      <c r="M71" s="97"/>
    </row>
    <row r="72" spans="1:13" s="57" customFormat="1" ht="108" customHeight="1">
      <c r="A72" s="70" t="s">
        <v>288</v>
      </c>
      <c r="B72" s="110" t="s">
        <v>289</v>
      </c>
      <c r="C72" s="76" t="s">
        <v>134</v>
      </c>
      <c r="D72" s="70" t="s">
        <v>128</v>
      </c>
      <c r="E72" s="70" t="s">
        <v>129</v>
      </c>
      <c r="F72" s="109" t="s">
        <v>290</v>
      </c>
      <c r="G72" s="77" t="s">
        <v>291</v>
      </c>
      <c r="H72" s="77" t="s">
        <v>87</v>
      </c>
      <c r="M72" s="97"/>
    </row>
    <row r="73" spans="1:13" s="57" customFormat="1" ht="125.25" customHeight="1">
      <c r="A73" s="70" t="s">
        <v>292</v>
      </c>
      <c r="B73" s="81" t="s">
        <v>293</v>
      </c>
      <c r="C73" s="76" t="s">
        <v>134</v>
      </c>
      <c r="D73" s="70" t="s">
        <v>128</v>
      </c>
      <c r="E73" s="70" t="s">
        <v>129</v>
      </c>
      <c r="F73" s="77" t="s">
        <v>294</v>
      </c>
      <c r="G73" s="92" t="s">
        <v>295</v>
      </c>
      <c r="H73" s="92" t="s">
        <v>296</v>
      </c>
      <c r="M73" s="97"/>
    </row>
    <row r="74" spans="1:13" s="106" customFormat="1" ht="81" customHeight="1">
      <c r="A74" s="69" t="s">
        <v>297</v>
      </c>
      <c r="B74" s="111" t="s">
        <v>298</v>
      </c>
      <c r="C74" s="90" t="s">
        <v>134</v>
      </c>
      <c r="D74" s="70" t="s">
        <v>128</v>
      </c>
      <c r="E74" s="70" t="s">
        <v>129</v>
      </c>
      <c r="F74" s="112" t="s">
        <v>290</v>
      </c>
      <c r="G74" s="92" t="s">
        <v>291</v>
      </c>
      <c r="H74" s="92" t="s">
        <v>91</v>
      </c>
      <c r="I74" s="113"/>
      <c r="J74" s="113"/>
      <c r="K74" s="113"/>
      <c r="M74" s="114"/>
    </row>
    <row r="75" spans="1:13" s="106" customFormat="1" ht="121.5" customHeight="1">
      <c r="A75" s="69" t="s">
        <v>299</v>
      </c>
      <c r="B75" s="75" t="s">
        <v>300</v>
      </c>
      <c r="C75" s="90" t="s">
        <v>301</v>
      </c>
      <c r="D75" s="70" t="s">
        <v>128</v>
      </c>
      <c r="E75" s="70" t="s">
        <v>302</v>
      </c>
      <c r="F75" s="92" t="s">
        <v>303</v>
      </c>
      <c r="G75" s="92" t="s">
        <v>228</v>
      </c>
      <c r="H75" s="115" t="s">
        <v>304</v>
      </c>
      <c r="I75" s="113"/>
      <c r="J75" s="113"/>
      <c r="K75" s="113"/>
      <c r="M75" s="114"/>
    </row>
    <row r="76" spans="1:13" ht="21.75" customHeight="1">
      <c r="A76" s="73" t="s">
        <v>305</v>
      </c>
      <c r="B76" s="73"/>
      <c r="C76" s="73"/>
      <c r="D76" s="73"/>
      <c r="E76" s="73"/>
      <c r="F76" s="73"/>
      <c r="G76" s="73"/>
      <c r="H76" s="73"/>
      <c r="M76" s="95"/>
    </row>
    <row r="77" spans="1:13" ht="177" customHeight="1">
      <c r="A77" s="70" t="s">
        <v>306</v>
      </c>
      <c r="B77" s="77" t="s">
        <v>307</v>
      </c>
      <c r="C77" s="76" t="s">
        <v>134</v>
      </c>
      <c r="D77" s="70" t="s">
        <v>128</v>
      </c>
      <c r="E77" s="70" t="s">
        <v>129</v>
      </c>
      <c r="F77" s="77" t="s">
        <v>308</v>
      </c>
      <c r="G77" s="77" t="s">
        <v>309</v>
      </c>
      <c r="H77" s="77" t="s">
        <v>310</v>
      </c>
      <c r="M77" s="95"/>
    </row>
    <row r="78" spans="1:13" s="57" customFormat="1" ht="108" customHeight="1">
      <c r="A78" s="96" t="s">
        <v>311</v>
      </c>
      <c r="B78" s="77" t="s">
        <v>312</v>
      </c>
      <c r="C78" s="76" t="s">
        <v>313</v>
      </c>
      <c r="D78" s="70" t="s">
        <v>128</v>
      </c>
      <c r="E78" s="70" t="s">
        <v>129</v>
      </c>
      <c r="F78" s="77" t="s">
        <v>314</v>
      </c>
      <c r="G78" s="77" t="s">
        <v>315</v>
      </c>
      <c r="H78" s="77" t="s">
        <v>99</v>
      </c>
      <c r="M78" s="97"/>
    </row>
    <row r="79" spans="1:13" s="57" customFormat="1" ht="133.5" customHeight="1">
      <c r="A79" s="70" t="s">
        <v>316</v>
      </c>
      <c r="B79" s="77" t="s">
        <v>317</v>
      </c>
      <c r="C79" s="76" t="s">
        <v>134</v>
      </c>
      <c r="D79" s="70" t="s">
        <v>128</v>
      </c>
      <c r="E79" s="70" t="s">
        <v>129</v>
      </c>
      <c r="F79" s="77" t="s">
        <v>318</v>
      </c>
      <c r="G79" s="77" t="s">
        <v>319</v>
      </c>
      <c r="H79" s="77" t="s">
        <v>320</v>
      </c>
      <c r="M79" s="97"/>
    </row>
    <row r="80" spans="1:13" s="57" customFormat="1" ht="104.25" customHeight="1">
      <c r="A80" s="96" t="s">
        <v>321</v>
      </c>
      <c r="B80" s="77" t="s">
        <v>322</v>
      </c>
      <c r="C80" s="76" t="s">
        <v>134</v>
      </c>
      <c r="D80" s="70" t="s">
        <v>128</v>
      </c>
      <c r="E80" s="70" t="s">
        <v>323</v>
      </c>
      <c r="F80" s="77" t="s">
        <v>324</v>
      </c>
      <c r="G80" s="77" t="s">
        <v>325</v>
      </c>
      <c r="H80" s="77" t="s">
        <v>101</v>
      </c>
      <c r="M80" s="97"/>
    </row>
    <row r="81" spans="1:13" ht="21.75" customHeight="1">
      <c r="A81" s="73" t="s">
        <v>326</v>
      </c>
      <c r="B81" s="73"/>
      <c r="C81" s="73"/>
      <c r="D81" s="73"/>
      <c r="E81" s="73"/>
      <c r="F81" s="73"/>
      <c r="G81" s="73"/>
      <c r="H81" s="73"/>
      <c r="M81" s="95"/>
    </row>
    <row r="82" spans="1:13" s="57" customFormat="1" ht="58.5" customHeight="1">
      <c r="A82" s="96" t="s">
        <v>327</v>
      </c>
      <c r="B82" s="77" t="s">
        <v>328</v>
      </c>
      <c r="C82" s="76" t="s">
        <v>134</v>
      </c>
      <c r="D82" s="70" t="s">
        <v>128</v>
      </c>
      <c r="E82" s="70" t="s">
        <v>129</v>
      </c>
      <c r="F82" s="77" t="s">
        <v>329</v>
      </c>
      <c r="G82" s="77" t="s">
        <v>330</v>
      </c>
      <c r="H82" s="77" t="s">
        <v>104</v>
      </c>
      <c r="M82" s="97"/>
    </row>
    <row r="83" spans="1:13" s="57" customFormat="1" ht="124.5" customHeight="1">
      <c r="A83" s="96" t="s">
        <v>331</v>
      </c>
      <c r="B83" s="92" t="s">
        <v>332</v>
      </c>
      <c r="C83" s="76" t="s">
        <v>134</v>
      </c>
      <c r="D83" s="70" t="s">
        <v>128</v>
      </c>
      <c r="E83" s="70" t="s">
        <v>129</v>
      </c>
      <c r="F83" s="92" t="s">
        <v>333</v>
      </c>
      <c r="G83" s="77" t="s">
        <v>334</v>
      </c>
      <c r="H83" s="77" t="s">
        <v>107</v>
      </c>
      <c r="M83" s="97"/>
    </row>
    <row r="84" spans="1:13" ht="19.5" customHeight="1">
      <c r="A84" s="73" t="s">
        <v>335</v>
      </c>
      <c r="B84" s="73"/>
      <c r="C84" s="73"/>
      <c r="D84" s="73"/>
      <c r="E84" s="73"/>
      <c r="F84" s="73"/>
      <c r="G84" s="73"/>
      <c r="H84" s="73"/>
      <c r="M84" s="95"/>
    </row>
    <row r="85" spans="1:13" ht="22.5" customHeight="1">
      <c r="A85" s="73" t="s">
        <v>109</v>
      </c>
      <c r="B85" s="73"/>
      <c r="C85" s="73"/>
      <c r="D85" s="73"/>
      <c r="E85" s="73"/>
      <c r="F85" s="73"/>
      <c r="G85" s="73"/>
      <c r="H85" s="73"/>
      <c r="M85" s="95"/>
    </row>
    <row r="86" spans="1:13" s="57" customFormat="1" ht="138.75" customHeight="1">
      <c r="A86" s="96" t="s">
        <v>336</v>
      </c>
      <c r="B86" s="116" t="s">
        <v>337</v>
      </c>
      <c r="C86" s="76" t="s">
        <v>134</v>
      </c>
      <c r="D86" s="70" t="s">
        <v>128</v>
      </c>
      <c r="E86" s="70" t="s">
        <v>129</v>
      </c>
      <c r="F86" s="77" t="s">
        <v>338</v>
      </c>
      <c r="G86" s="77" t="s">
        <v>339</v>
      </c>
      <c r="H86" s="77" t="s">
        <v>340</v>
      </c>
      <c r="I86" s="117"/>
      <c r="J86" s="117"/>
      <c r="K86" s="117"/>
      <c r="M86" s="97"/>
    </row>
    <row r="87" spans="1:13" s="57" customFormat="1" ht="120" customHeight="1">
      <c r="A87" s="96" t="s">
        <v>341</v>
      </c>
      <c r="B87" s="116" t="s">
        <v>342</v>
      </c>
      <c r="C87" s="76" t="s">
        <v>134</v>
      </c>
      <c r="D87" s="70" t="s">
        <v>128</v>
      </c>
      <c r="E87" s="70" t="s">
        <v>129</v>
      </c>
      <c r="F87" s="77" t="s">
        <v>338</v>
      </c>
      <c r="G87" s="77" t="s">
        <v>339</v>
      </c>
      <c r="H87" s="77"/>
      <c r="I87" s="117"/>
      <c r="J87" s="117"/>
      <c r="K87" s="117"/>
      <c r="M87" s="97"/>
    </row>
    <row r="88" spans="1:13" s="57" customFormat="1" ht="86.25" customHeight="1">
      <c r="A88" s="96" t="s">
        <v>343</v>
      </c>
      <c r="B88" s="92" t="s">
        <v>344</v>
      </c>
      <c r="C88" s="76" t="s">
        <v>134</v>
      </c>
      <c r="D88" s="70" t="s">
        <v>128</v>
      </c>
      <c r="E88" s="70" t="s">
        <v>129</v>
      </c>
      <c r="F88" s="118" t="s">
        <v>345</v>
      </c>
      <c r="G88" s="118" t="s">
        <v>339</v>
      </c>
      <c r="H88" s="77"/>
      <c r="M88" s="97"/>
    </row>
    <row r="89" spans="1:13" s="57" customFormat="1" ht="125.25" customHeight="1">
      <c r="A89" s="96" t="s">
        <v>346</v>
      </c>
      <c r="B89" s="101" t="s">
        <v>347</v>
      </c>
      <c r="C89" s="76" t="s">
        <v>134</v>
      </c>
      <c r="D89" s="70" t="s">
        <v>128</v>
      </c>
      <c r="E89" s="70" t="s">
        <v>129</v>
      </c>
      <c r="F89" s="77" t="s">
        <v>338</v>
      </c>
      <c r="G89" s="77" t="s">
        <v>339</v>
      </c>
      <c r="H89" s="77"/>
      <c r="M89" s="97"/>
    </row>
    <row r="90" spans="1:13" s="57" customFormat="1" ht="124.5" customHeight="1">
      <c r="A90" s="96" t="s">
        <v>348</v>
      </c>
      <c r="B90" s="77" t="s">
        <v>349</v>
      </c>
      <c r="C90" s="76" t="s">
        <v>134</v>
      </c>
      <c r="D90" s="70" t="s">
        <v>128</v>
      </c>
      <c r="E90" s="70" t="s">
        <v>129</v>
      </c>
      <c r="F90" s="77" t="s">
        <v>338</v>
      </c>
      <c r="G90" s="77" t="s">
        <v>339</v>
      </c>
      <c r="H90" s="77"/>
      <c r="M90" s="97"/>
    </row>
    <row r="91" spans="1:8" s="72" customFormat="1" ht="22.5" customHeight="1">
      <c r="A91" s="73" t="s">
        <v>112</v>
      </c>
      <c r="B91" s="73"/>
      <c r="C91" s="73"/>
      <c r="D91" s="73"/>
      <c r="E91" s="73"/>
      <c r="F91" s="73"/>
      <c r="G91" s="73"/>
      <c r="H91" s="73"/>
    </row>
    <row r="92" spans="1:8" s="72" customFormat="1" ht="122.25" customHeight="1">
      <c r="A92" s="96" t="s">
        <v>350</v>
      </c>
      <c r="B92" s="77" t="s">
        <v>351</v>
      </c>
      <c r="C92" s="76" t="s">
        <v>134</v>
      </c>
      <c r="D92" s="70" t="s">
        <v>128</v>
      </c>
      <c r="E92" s="70" t="s">
        <v>129</v>
      </c>
      <c r="F92" s="77" t="s">
        <v>338</v>
      </c>
      <c r="G92" s="77" t="s">
        <v>339</v>
      </c>
      <c r="H92" s="77" t="s">
        <v>340</v>
      </c>
    </row>
    <row r="93" spans="1:8" s="57" customFormat="1" ht="126" customHeight="1">
      <c r="A93" s="96" t="s">
        <v>352</v>
      </c>
      <c r="B93" s="77" t="s">
        <v>353</v>
      </c>
      <c r="C93" s="76" t="s">
        <v>134</v>
      </c>
      <c r="D93" s="70" t="s">
        <v>128</v>
      </c>
      <c r="E93" s="70" t="s">
        <v>129</v>
      </c>
      <c r="F93" s="77" t="s">
        <v>338</v>
      </c>
      <c r="G93" s="77" t="s">
        <v>339</v>
      </c>
      <c r="H93" s="77"/>
    </row>
  </sheetData>
  <sheetProtection selectLockedCells="1" selectUnlockedCells="1"/>
  <mergeCells count="33">
    <mergeCell ref="B1:H1"/>
    <mergeCell ref="C2:H2"/>
    <mergeCell ref="A4:H4"/>
    <mergeCell ref="A6:A7"/>
    <mergeCell ref="B6:B7"/>
    <mergeCell ref="C6:C7"/>
    <mergeCell ref="D6:E6"/>
    <mergeCell ref="F6:F7"/>
    <mergeCell ref="G6:G7"/>
    <mergeCell ref="H6:H7"/>
    <mergeCell ref="A9:H9"/>
    <mergeCell ref="A10:H10"/>
    <mergeCell ref="A40:H40"/>
    <mergeCell ref="A46:H46"/>
    <mergeCell ref="A55:H55"/>
    <mergeCell ref="A60:H60"/>
    <mergeCell ref="A61:H61"/>
    <mergeCell ref="A62:A63"/>
    <mergeCell ref="B62:B63"/>
    <mergeCell ref="C62:C63"/>
    <mergeCell ref="D62:D63"/>
    <mergeCell ref="E62:E63"/>
    <mergeCell ref="F62:F63"/>
    <mergeCell ref="G62:G63"/>
    <mergeCell ref="A66:H66"/>
    <mergeCell ref="A69:H69"/>
    <mergeCell ref="A76:H76"/>
    <mergeCell ref="A81:H81"/>
    <mergeCell ref="A84:H84"/>
    <mergeCell ref="A85:H85"/>
    <mergeCell ref="H86:H90"/>
    <mergeCell ref="A91:H91"/>
    <mergeCell ref="H92:H93"/>
  </mergeCells>
  <printOptions/>
  <pageMargins left="0.39375" right="0.39375" top="0.39375" bottom="0.39375" header="0.5118055555555555" footer="0.5118055555555555"/>
  <pageSetup horizontalDpi="300" verticalDpi="300"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I13"/>
  <sheetViews>
    <sheetView workbookViewId="0" topLeftCell="A7">
      <selection activeCell="I5" sqref="I5"/>
    </sheetView>
  </sheetViews>
  <sheetFormatPr defaultColWidth="9.00390625" defaultRowHeight="12.75"/>
  <cols>
    <col min="1" max="1" width="7.00390625" style="119" customWidth="1"/>
    <col min="2" max="2" width="9.125" style="119" customWidth="1"/>
    <col min="3" max="3" width="28.375" style="119" customWidth="1"/>
    <col min="4" max="4" width="36.50390625" style="119" customWidth="1"/>
    <col min="5" max="8" width="9.125" style="119" customWidth="1"/>
    <col min="9" max="9" width="41.125" style="119" customWidth="1"/>
    <col min="10" max="10" width="19.625" style="119" customWidth="1"/>
    <col min="11" max="16384" width="9.125" style="119" customWidth="1"/>
  </cols>
  <sheetData>
    <row r="1" spans="2:9" ht="14.25" customHeight="1">
      <c r="B1" s="58"/>
      <c r="C1" s="59"/>
      <c r="D1" s="59"/>
      <c r="E1" s="59"/>
      <c r="F1" s="59"/>
      <c r="G1" s="59"/>
      <c r="H1" s="59"/>
      <c r="I1" s="59"/>
    </row>
    <row r="2" spans="2:9" ht="15.75" customHeight="1">
      <c r="B2" s="58"/>
      <c r="C2" s="58"/>
      <c r="D2" s="59" t="s">
        <v>354</v>
      </c>
      <c r="E2" s="59"/>
      <c r="F2" s="59"/>
      <c r="G2" s="59"/>
      <c r="H2" s="59"/>
      <c r="I2" s="59"/>
    </row>
    <row r="4" spans="1:9" ht="42.75" customHeight="1">
      <c r="A4" s="120" t="s">
        <v>355</v>
      </c>
      <c r="B4" s="120"/>
      <c r="C4" s="120"/>
      <c r="D4" s="120"/>
      <c r="E4" s="120"/>
      <c r="F4" s="120"/>
      <c r="G4" s="120"/>
      <c r="H4" s="120"/>
      <c r="I4" s="120"/>
    </row>
    <row r="5" spans="1:9" ht="31.5" customHeight="1">
      <c r="A5" s="121" t="s">
        <v>116</v>
      </c>
      <c r="B5" s="122" t="s">
        <v>356</v>
      </c>
      <c r="C5" s="122"/>
      <c r="D5" s="122" t="s">
        <v>357</v>
      </c>
      <c r="E5" s="123" t="s">
        <v>358</v>
      </c>
      <c r="F5" s="123"/>
      <c r="G5" s="123"/>
      <c r="H5" s="123"/>
      <c r="I5" s="122" t="s">
        <v>359</v>
      </c>
    </row>
    <row r="6" spans="1:9" ht="35.25" customHeight="1">
      <c r="A6" s="121"/>
      <c r="B6" s="122"/>
      <c r="C6" s="122"/>
      <c r="D6" s="122"/>
      <c r="E6" s="122">
        <v>2013</v>
      </c>
      <c r="F6" s="122">
        <v>2014</v>
      </c>
      <c r="G6" s="122">
        <v>2015</v>
      </c>
      <c r="H6" s="122">
        <v>2016</v>
      </c>
      <c r="I6" s="122"/>
    </row>
    <row r="7" spans="1:9" ht="15">
      <c r="A7" s="121">
        <v>1</v>
      </c>
      <c r="B7" s="123">
        <v>2</v>
      </c>
      <c r="C7" s="123"/>
      <c r="D7" s="123">
        <v>3</v>
      </c>
      <c r="E7" s="123">
        <v>4</v>
      </c>
      <c r="F7" s="123">
        <v>5</v>
      </c>
      <c r="G7" s="123">
        <v>6</v>
      </c>
      <c r="H7" s="124">
        <v>7</v>
      </c>
      <c r="I7" s="124">
        <v>8</v>
      </c>
    </row>
    <row r="8" spans="1:9" ht="15">
      <c r="A8" s="121" t="s">
        <v>360</v>
      </c>
      <c r="B8" s="121"/>
      <c r="C8" s="121"/>
      <c r="D8" s="121"/>
      <c r="E8" s="121"/>
      <c r="F8" s="121"/>
      <c r="G8" s="121"/>
      <c r="H8" s="121"/>
      <c r="I8" s="121"/>
    </row>
    <row r="9" spans="1:9" ht="157.5" customHeight="1">
      <c r="A9" s="125" t="s">
        <v>11</v>
      </c>
      <c r="B9" s="126" t="s">
        <v>361</v>
      </c>
      <c r="C9" s="126"/>
      <c r="D9" s="127" t="s">
        <v>362</v>
      </c>
      <c r="E9" s="128">
        <v>17000</v>
      </c>
      <c r="F9" s="128">
        <v>17200</v>
      </c>
      <c r="G9" s="128">
        <v>17200</v>
      </c>
      <c r="H9" s="128">
        <v>17200</v>
      </c>
      <c r="I9" s="129" t="s">
        <v>363</v>
      </c>
    </row>
    <row r="10" spans="1:9" ht="138" customHeight="1">
      <c r="A10" s="125" t="s">
        <v>14</v>
      </c>
      <c r="B10" s="130" t="s">
        <v>364</v>
      </c>
      <c r="C10" s="130"/>
      <c r="D10" s="127" t="s">
        <v>365</v>
      </c>
      <c r="E10" s="128">
        <v>400</v>
      </c>
      <c r="F10" s="128">
        <v>400</v>
      </c>
      <c r="G10" s="128">
        <v>400</v>
      </c>
      <c r="H10" s="128">
        <v>400</v>
      </c>
      <c r="I10" s="129" t="s">
        <v>363</v>
      </c>
    </row>
    <row r="12" spans="2:8" ht="12.75">
      <c r="B12" s="131"/>
      <c r="C12" s="131"/>
      <c r="D12" s="131"/>
      <c r="E12" s="131"/>
      <c r="F12" s="131"/>
      <c r="G12" s="131"/>
      <c r="H12" s="131"/>
    </row>
    <row r="13" spans="2:8" ht="30" customHeight="1">
      <c r="B13" s="131"/>
      <c r="C13" s="131"/>
      <c r="D13" s="131"/>
      <c r="E13" s="131"/>
      <c r="F13" s="131"/>
      <c r="G13" s="131"/>
      <c r="H13" s="131"/>
    </row>
  </sheetData>
  <sheetProtection selectLockedCells="1" selectUnlockedCells="1"/>
  <mergeCells count="13">
    <mergeCell ref="C1:I1"/>
    <mergeCell ref="D2:I2"/>
    <mergeCell ref="A4:I4"/>
    <mergeCell ref="A5:A6"/>
    <mergeCell ref="B5:C6"/>
    <mergeCell ref="D5:D6"/>
    <mergeCell ref="E5:H5"/>
    <mergeCell ref="I5:I6"/>
    <mergeCell ref="B7:C7"/>
    <mergeCell ref="A8:I8"/>
    <mergeCell ref="B9:C9"/>
    <mergeCell ref="B10:C10"/>
    <mergeCell ref="B12:H13"/>
  </mergeCells>
  <printOptions/>
  <pageMargins left="0.75" right="0.75" top="1" bottom="1"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E26"/>
  <sheetViews>
    <sheetView workbookViewId="0" topLeftCell="A25">
      <selection activeCell="E23" sqref="E23"/>
    </sheetView>
  </sheetViews>
  <sheetFormatPr defaultColWidth="9.00390625" defaultRowHeight="12.75"/>
  <cols>
    <col min="1" max="1" width="4.50390625" style="0" customWidth="1"/>
    <col min="2" max="2" width="42.25390625" style="0" customWidth="1"/>
    <col min="3" max="3" width="16.875" style="0" customWidth="1"/>
    <col min="4" max="4" width="19.125" style="0" customWidth="1"/>
    <col min="5" max="5" width="13.50390625" style="0" customWidth="1"/>
  </cols>
  <sheetData>
    <row r="1" spans="2:5" ht="15">
      <c r="B1" s="58"/>
      <c r="C1" s="132"/>
      <c r="D1" s="132"/>
      <c r="E1" s="132"/>
    </row>
    <row r="2" spans="1:5" ht="15" customHeight="1">
      <c r="A2" s="58"/>
      <c r="B2" s="58"/>
      <c r="C2" s="59" t="s">
        <v>366</v>
      </c>
      <c r="D2" s="59"/>
      <c r="E2" s="59"/>
    </row>
    <row r="3" spans="1:5" ht="36" customHeight="1">
      <c r="A3" s="133" t="s">
        <v>367</v>
      </c>
      <c r="B3" s="133"/>
      <c r="C3" s="133"/>
      <c r="D3" s="133"/>
      <c r="E3" s="133"/>
    </row>
    <row r="4" spans="1:5" ht="7.5" customHeight="1">
      <c r="A4" s="58"/>
      <c r="B4" s="58"/>
      <c r="C4" s="58"/>
      <c r="D4" s="58"/>
      <c r="E4" s="58"/>
    </row>
    <row r="5" spans="1:5" ht="56.25" customHeight="1">
      <c r="A5" s="134" t="s">
        <v>116</v>
      </c>
      <c r="B5" s="134" t="s">
        <v>368</v>
      </c>
      <c r="C5" s="134" t="s">
        <v>369</v>
      </c>
      <c r="D5" s="134" t="s">
        <v>370</v>
      </c>
      <c r="E5" s="134" t="s">
        <v>371</v>
      </c>
    </row>
    <row r="6" spans="1:5" ht="15">
      <c r="A6" s="135">
        <v>1</v>
      </c>
      <c r="B6" s="135">
        <v>2</v>
      </c>
      <c r="C6" s="135">
        <v>3</v>
      </c>
      <c r="D6" s="135">
        <v>4</v>
      </c>
      <c r="E6" s="135">
        <v>5</v>
      </c>
    </row>
    <row r="7" spans="1:5" ht="15" customHeight="1">
      <c r="A7" s="136" t="s">
        <v>372</v>
      </c>
      <c r="B7" s="136"/>
      <c r="C7" s="136"/>
      <c r="D7" s="136"/>
      <c r="E7" s="136"/>
    </row>
    <row r="8" spans="1:5" ht="61.5" customHeight="1">
      <c r="A8" s="137" t="s">
        <v>11</v>
      </c>
      <c r="B8" s="138" t="s">
        <v>373</v>
      </c>
      <c r="C8" s="134" t="s">
        <v>374</v>
      </c>
      <c r="D8" s="139" t="s">
        <v>375</v>
      </c>
      <c r="E8" s="134" t="s">
        <v>376</v>
      </c>
    </row>
    <row r="9" spans="1:5" ht="81.75" customHeight="1">
      <c r="A9" s="137" t="s">
        <v>14</v>
      </c>
      <c r="B9" s="139" t="s">
        <v>377</v>
      </c>
      <c r="C9" s="134" t="s">
        <v>378</v>
      </c>
      <c r="D9" s="139" t="s">
        <v>375</v>
      </c>
      <c r="E9" s="134" t="s">
        <v>376</v>
      </c>
    </row>
    <row r="10" spans="1:5" ht="54.75" customHeight="1">
      <c r="A10" s="137" t="s">
        <v>16</v>
      </c>
      <c r="B10" s="139" t="s">
        <v>379</v>
      </c>
      <c r="C10" s="134" t="s">
        <v>378</v>
      </c>
      <c r="D10" s="139" t="s">
        <v>375</v>
      </c>
      <c r="E10" s="134" t="s">
        <v>128</v>
      </c>
    </row>
    <row r="11" spans="1:5" ht="57" customHeight="1">
      <c r="A11" s="140" t="s">
        <v>20</v>
      </c>
      <c r="B11" s="139" t="s">
        <v>380</v>
      </c>
      <c r="C11" s="134" t="s">
        <v>374</v>
      </c>
      <c r="D11" s="139" t="s">
        <v>375</v>
      </c>
      <c r="E11" s="134" t="s">
        <v>376</v>
      </c>
    </row>
    <row r="12" spans="1:5" ht="82.5" customHeight="1">
      <c r="A12" s="140" t="s">
        <v>24</v>
      </c>
      <c r="B12" s="139" t="s">
        <v>381</v>
      </c>
      <c r="C12" s="134" t="s">
        <v>374</v>
      </c>
      <c r="D12" s="139" t="s">
        <v>375</v>
      </c>
      <c r="E12" s="134" t="s">
        <v>376</v>
      </c>
    </row>
    <row r="13" spans="1:5" ht="101.25" customHeight="1">
      <c r="A13" s="140" t="s">
        <v>26</v>
      </c>
      <c r="B13" s="141" t="s">
        <v>382</v>
      </c>
      <c r="C13" s="134" t="s">
        <v>383</v>
      </c>
      <c r="D13" s="139" t="s">
        <v>375</v>
      </c>
      <c r="E13" s="134" t="s">
        <v>384</v>
      </c>
    </row>
    <row r="14" spans="1:5" ht="63.75" customHeight="1">
      <c r="A14" s="142" t="s">
        <v>37</v>
      </c>
      <c r="B14" s="143" t="s">
        <v>385</v>
      </c>
      <c r="C14" s="134" t="s">
        <v>374</v>
      </c>
      <c r="D14" s="139" t="s">
        <v>375</v>
      </c>
      <c r="E14" s="134" t="s">
        <v>376</v>
      </c>
    </row>
    <row r="15" spans="1:5" ht="82.5" customHeight="1">
      <c r="A15" s="142" t="s">
        <v>39</v>
      </c>
      <c r="B15" s="144" t="s">
        <v>386</v>
      </c>
      <c r="C15" s="134" t="s">
        <v>374</v>
      </c>
      <c r="D15" s="139" t="s">
        <v>375</v>
      </c>
      <c r="E15" s="134" t="s">
        <v>376</v>
      </c>
    </row>
    <row r="16" spans="1:5" ht="15" customHeight="1">
      <c r="A16" s="136" t="s">
        <v>387</v>
      </c>
      <c r="B16" s="136"/>
      <c r="C16" s="136"/>
      <c r="D16" s="136"/>
      <c r="E16" s="136"/>
    </row>
    <row r="17" spans="1:5" ht="68.25" customHeight="1">
      <c r="A17" s="140" t="s">
        <v>42</v>
      </c>
      <c r="B17" s="145" t="s">
        <v>388</v>
      </c>
      <c r="C17" s="134" t="s">
        <v>374</v>
      </c>
      <c r="D17" s="139" t="s">
        <v>375</v>
      </c>
      <c r="E17" s="134" t="s">
        <v>389</v>
      </c>
    </row>
    <row r="18" spans="1:5" ht="69" customHeight="1">
      <c r="A18" s="140" t="s">
        <v>45</v>
      </c>
      <c r="B18" s="146" t="s">
        <v>390</v>
      </c>
      <c r="C18" s="147" t="s">
        <v>391</v>
      </c>
      <c r="D18" s="134" t="s">
        <v>375</v>
      </c>
      <c r="E18" s="147" t="s">
        <v>392</v>
      </c>
    </row>
    <row r="19" spans="1:5" ht="72" customHeight="1">
      <c r="A19" s="134" t="s">
        <v>47</v>
      </c>
      <c r="B19" s="139" t="s">
        <v>393</v>
      </c>
      <c r="C19" s="134" t="s">
        <v>374</v>
      </c>
      <c r="D19" s="139" t="s">
        <v>375</v>
      </c>
      <c r="E19" s="134" t="s">
        <v>376</v>
      </c>
    </row>
    <row r="20" spans="1:5" ht="96" customHeight="1">
      <c r="A20" s="140" t="s">
        <v>49</v>
      </c>
      <c r="B20" s="139" t="s">
        <v>394</v>
      </c>
      <c r="C20" s="134" t="s">
        <v>374</v>
      </c>
      <c r="D20" s="139" t="s">
        <v>375</v>
      </c>
      <c r="E20" s="134" t="s">
        <v>376</v>
      </c>
    </row>
    <row r="21" spans="1:5" ht="109.5" customHeight="1">
      <c r="A21" s="140" t="s">
        <v>53</v>
      </c>
      <c r="B21" s="139" t="s">
        <v>395</v>
      </c>
      <c r="C21" s="134" t="s">
        <v>374</v>
      </c>
      <c r="D21" s="139" t="s">
        <v>375</v>
      </c>
      <c r="E21" s="134" t="s">
        <v>376</v>
      </c>
    </row>
    <row r="22" spans="1:5" ht="71.25" customHeight="1">
      <c r="A22" s="140" t="s">
        <v>56</v>
      </c>
      <c r="B22" s="139" t="s">
        <v>396</v>
      </c>
      <c r="C22" s="134" t="s">
        <v>374</v>
      </c>
      <c r="D22" s="134" t="s">
        <v>375</v>
      </c>
      <c r="E22" s="134" t="s">
        <v>376</v>
      </c>
    </row>
    <row r="23" spans="1:5" ht="71.25" customHeight="1">
      <c r="A23" s="140" t="s">
        <v>58</v>
      </c>
      <c r="B23" s="139" t="s">
        <v>397</v>
      </c>
      <c r="C23" s="134" t="s">
        <v>374</v>
      </c>
      <c r="D23" s="134" t="s">
        <v>375</v>
      </c>
      <c r="E23" s="134" t="s">
        <v>128</v>
      </c>
    </row>
    <row r="24" spans="1:5" ht="23.25" customHeight="1">
      <c r="A24" s="136" t="s">
        <v>335</v>
      </c>
      <c r="B24" s="136"/>
      <c r="C24" s="136"/>
      <c r="D24" s="136"/>
      <c r="E24" s="136"/>
    </row>
    <row r="25" spans="1:5" ht="124.5" customHeight="1">
      <c r="A25" s="142" t="s">
        <v>60</v>
      </c>
      <c r="B25" s="148" t="s">
        <v>398</v>
      </c>
      <c r="C25" s="147" t="s">
        <v>374</v>
      </c>
      <c r="D25" s="149" t="s">
        <v>375</v>
      </c>
      <c r="E25" s="147" t="s">
        <v>399</v>
      </c>
    </row>
    <row r="26" spans="1:5" ht="123" customHeight="1">
      <c r="A26" s="142" t="s">
        <v>62</v>
      </c>
      <c r="B26" s="148" t="s">
        <v>400</v>
      </c>
      <c r="C26" s="147" t="s">
        <v>401</v>
      </c>
      <c r="D26" s="149" t="s">
        <v>375</v>
      </c>
      <c r="E26" s="147" t="s">
        <v>402</v>
      </c>
    </row>
    <row r="27" ht="13.5"/>
    <row r="33" ht="13.5"/>
  </sheetData>
  <sheetProtection selectLockedCells="1" selectUnlockedCells="1"/>
  <mergeCells count="6">
    <mergeCell ref="C1:E1"/>
    <mergeCell ref="C2:E2"/>
    <mergeCell ref="A3:E3"/>
    <mergeCell ref="A7:E7"/>
    <mergeCell ref="A16:E16"/>
    <mergeCell ref="A24:E24"/>
  </mergeCells>
  <printOptions/>
  <pageMargins left="0.5902777777777778" right="0.5902777777777778" top="0.3458333333333333" bottom="0.2534722222222222" header="0.5118055555555555" footer="0.5118055555555555"/>
  <pageSetup fitToHeight="1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zoomScale="95" zoomScaleNormal="95" workbookViewId="0" topLeftCell="A7">
      <selection activeCell="A4" sqref="A4"/>
    </sheetView>
  </sheetViews>
  <sheetFormatPr defaultColWidth="9.00390625" defaultRowHeight="12.75"/>
  <cols>
    <col min="1" max="1" width="66.625" style="150" customWidth="1"/>
    <col min="2" max="2" width="12.625" style="150" customWidth="1"/>
    <col min="3" max="6" width="9.625" style="150" customWidth="1"/>
    <col min="7" max="10" width="14.625" style="150" customWidth="1"/>
    <col min="11" max="11" width="30.375" style="150" customWidth="1"/>
    <col min="12" max="16384" width="9.125" style="150" customWidth="1"/>
  </cols>
  <sheetData>
    <row r="1" spans="3:10" ht="15">
      <c r="C1" s="58"/>
      <c r="D1" s="59"/>
      <c r="E1" s="59"/>
      <c r="F1" s="59"/>
      <c r="G1" s="59"/>
      <c r="H1" s="59"/>
      <c r="I1" s="59"/>
      <c r="J1" s="59"/>
    </row>
    <row r="2" spans="1:10" s="152" customFormat="1" ht="15" customHeight="1">
      <c r="A2" s="151"/>
      <c r="B2" s="151"/>
      <c r="C2" s="58"/>
      <c r="D2" s="58"/>
      <c r="E2" s="59" t="s">
        <v>403</v>
      </c>
      <c r="F2" s="59"/>
      <c r="G2" s="59"/>
      <c r="H2" s="59"/>
      <c r="I2" s="59"/>
      <c r="J2" s="59"/>
    </row>
    <row r="3" spans="1:10" s="152" customFormat="1" ht="15">
      <c r="A3" s="151"/>
      <c r="B3" s="151"/>
      <c r="C3" s="151"/>
      <c r="D3" s="151"/>
      <c r="E3" s="151"/>
      <c r="F3" s="151"/>
      <c r="G3" s="151"/>
      <c r="H3" s="151"/>
      <c r="I3" s="151"/>
      <c r="J3" s="151"/>
    </row>
    <row r="4" spans="1:11" s="152" customFormat="1" ht="36" customHeight="1">
      <c r="A4" s="64" t="s">
        <v>404</v>
      </c>
      <c r="B4" s="64"/>
      <c r="C4" s="64"/>
      <c r="D4" s="64"/>
      <c r="E4" s="64"/>
      <c r="F4" s="64"/>
      <c r="G4" s="64"/>
      <c r="H4" s="64"/>
      <c r="I4" s="64"/>
      <c r="J4" s="64"/>
      <c r="K4" s="152" t="s">
        <v>405</v>
      </c>
    </row>
    <row r="5" s="152" customFormat="1" ht="15"/>
    <row r="6" spans="1:10" ht="45" customHeight="1">
      <c r="A6" s="69" t="s">
        <v>406</v>
      </c>
      <c r="B6" s="153" t="s">
        <v>407</v>
      </c>
      <c r="C6" s="153" t="s">
        <v>408</v>
      </c>
      <c r="D6" s="153"/>
      <c r="E6" s="153"/>
      <c r="F6" s="153"/>
      <c r="G6" s="69" t="s">
        <v>409</v>
      </c>
      <c r="H6" s="69"/>
      <c r="I6" s="69"/>
      <c r="J6" s="69"/>
    </row>
    <row r="7" spans="1:10" ht="12.75">
      <c r="A7" s="69"/>
      <c r="B7" s="153"/>
      <c r="C7" s="153">
        <v>2013</v>
      </c>
      <c r="D7" s="153">
        <v>2014</v>
      </c>
      <c r="E7" s="153">
        <v>2015</v>
      </c>
      <c r="F7" s="153">
        <v>2016</v>
      </c>
      <c r="G7" s="153">
        <v>2013</v>
      </c>
      <c r="H7" s="153">
        <v>2014</v>
      </c>
      <c r="I7" s="153">
        <v>2015</v>
      </c>
      <c r="J7" s="153">
        <v>2016</v>
      </c>
    </row>
    <row r="8" spans="1:10" ht="12.75">
      <c r="A8" s="154">
        <v>1</v>
      </c>
      <c r="B8" s="154">
        <v>2</v>
      </c>
      <c r="C8" s="154">
        <v>3</v>
      </c>
      <c r="D8" s="154">
        <v>4</v>
      </c>
      <c r="E8" s="154">
        <v>5</v>
      </c>
      <c r="F8" s="154">
        <v>6</v>
      </c>
      <c r="G8" s="154">
        <v>7</v>
      </c>
      <c r="H8" s="154">
        <v>8</v>
      </c>
      <c r="I8" s="154">
        <v>9</v>
      </c>
      <c r="J8" s="154">
        <v>10</v>
      </c>
    </row>
    <row r="9" spans="1:10" ht="12.75" customHeight="1">
      <c r="A9" s="155" t="s">
        <v>410</v>
      </c>
      <c r="B9" s="155"/>
      <c r="C9" s="155"/>
      <c r="D9" s="155"/>
      <c r="E9" s="155"/>
      <c r="F9" s="155"/>
      <c r="G9" s="155"/>
      <c r="H9" s="155"/>
      <c r="I9" s="155"/>
      <c r="J9" s="155"/>
    </row>
    <row r="10" spans="1:11" s="158" customFormat="1" ht="21.75" customHeight="1">
      <c r="A10" s="156" t="s">
        <v>411</v>
      </c>
      <c r="B10" s="156"/>
      <c r="C10" s="156"/>
      <c r="D10" s="156"/>
      <c r="E10" s="156"/>
      <c r="F10" s="156"/>
      <c r="G10" s="156"/>
      <c r="H10" s="156"/>
      <c r="I10" s="156"/>
      <c r="J10" s="156"/>
      <c r="K10" s="157"/>
    </row>
    <row r="11" spans="1:10" s="158" customFormat="1" ht="12.75" customHeight="1">
      <c r="A11" s="70"/>
      <c r="B11" s="70"/>
      <c r="C11" s="70"/>
      <c r="D11" s="70"/>
      <c r="E11" s="70"/>
      <c r="F11" s="70"/>
      <c r="G11" s="70"/>
      <c r="H11" s="70"/>
      <c r="I11" s="70"/>
      <c r="J11" s="70"/>
    </row>
    <row r="12" spans="1:10" s="158" customFormat="1" ht="14.25">
      <c r="A12" s="159" t="s">
        <v>412</v>
      </c>
      <c r="B12" s="82"/>
      <c r="C12" s="70"/>
      <c r="D12" s="70"/>
      <c r="E12" s="160"/>
      <c r="F12" s="70"/>
      <c r="G12" s="161">
        <f>(495406632.14+98381841.25+7586600)/1000+24000000/1000+1048551/1000+0.1+491743/1000+55638.75/1000+59500000/1000</f>
        <v>686471.10614</v>
      </c>
      <c r="H12" s="161">
        <f>854075291.55/1000</f>
        <v>854075.29155</v>
      </c>
      <c r="I12" s="161">
        <f>858181470.01/1000</f>
        <v>858181.47001</v>
      </c>
      <c r="J12" s="161">
        <f>862736195.97/1000</f>
        <v>862736.19597</v>
      </c>
    </row>
    <row r="13" spans="1:10" s="158" customFormat="1" ht="14.25">
      <c r="A13" s="79" t="s">
        <v>413</v>
      </c>
      <c r="B13" s="96" t="s">
        <v>414</v>
      </c>
      <c r="C13" s="162">
        <f>1291013-13677</f>
        <v>1277336</v>
      </c>
      <c r="D13" s="162">
        <f>1121280+102400+13505+5475+27300</f>
        <v>1269960</v>
      </c>
      <c r="E13" s="162">
        <f>1121280+102400+13505+5475+27300</f>
        <v>1269960</v>
      </c>
      <c r="F13" s="162">
        <f>1179680+102400+13505+5475+27300</f>
        <v>1328360</v>
      </c>
      <c r="G13" s="163" t="s">
        <v>415</v>
      </c>
      <c r="H13" s="163" t="s">
        <v>415</v>
      </c>
      <c r="I13" s="163" t="s">
        <v>415</v>
      </c>
      <c r="J13" s="163" t="s">
        <v>415</v>
      </c>
    </row>
    <row r="14" spans="1:10" s="158" customFormat="1" ht="26.25">
      <c r="A14" s="159" t="s">
        <v>416</v>
      </c>
      <c r="B14" s="70"/>
      <c r="C14" s="70"/>
      <c r="D14" s="70"/>
      <c r="E14" s="70"/>
      <c r="F14" s="70"/>
      <c r="G14" s="161">
        <f>7323677.55/1000+34941.45/1000</f>
        <v>7358.619</v>
      </c>
      <c r="H14" s="161">
        <f>7638254.38/1000</f>
        <v>7638.25438</v>
      </c>
      <c r="I14" s="161">
        <f>7687439.01/1000</f>
        <v>7687.43901</v>
      </c>
      <c r="J14" s="161">
        <f>7737412.01/1000</f>
        <v>7737.41201</v>
      </c>
    </row>
    <row r="15" spans="1:10" s="158" customFormat="1" ht="13.5">
      <c r="A15" s="79" t="s">
        <v>413</v>
      </c>
      <c r="B15" s="96" t="s">
        <v>414</v>
      </c>
      <c r="C15" s="162">
        <v>15330</v>
      </c>
      <c r="D15" s="162">
        <v>15330</v>
      </c>
      <c r="E15" s="162">
        <v>15330</v>
      </c>
      <c r="F15" s="162">
        <v>15330</v>
      </c>
      <c r="G15" s="163" t="s">
        <v>415</v>
      </c>
      <c r="H15" s="163" t="s">
        <v>415</v>
      </c>
      <c r="I15" s="163" t="s">
        <v>415</v>
      </c>
      <c r="J15" s="163" t="s">
        <v>415</v>
      </c>
    </row>
    <row r="16" spans="1:10" s="158" customFormat="1" ht="26.25">
      <c r="A16" s="159" t="s">
        <v>417</v>
      </c>
      <c r="B16" s="70"/>
      <c r="C16" s="70"/>
      <c r="D16" s="70"/>
      <c r="E16" s="70"/>
      <c r="F16" s="70"/>
      <c r="G16" s="161">
        <f>11154575.88/1000+13747.1/1000</f>
        <v>11168.32298</v>
      </c>
      <c r="H16" s="161">
        <f>14960542.36/1000</f>
        <v>14960.54236</v>
      </c>
      <c r="I16" s="161">
        <f>14971040.4/1000</f>
        <v>14971.0404</v>
      </c>
      <c r="J16" s="161">
        <f>14983581.75/1000</f>
        <v>14983.58175</v>
      </c>
    </row>
    <row r="17" spans="1:10" s="158" customFormat="1" ht="14.25">
      <c r="A17" s="79" t="s">
        <v>418</v>
      </c>
      <c r="B17" s="96" t="s">
        <v>28</v>
      </c>
      <c r="C17" s="162">
        <v>6157</v>
      </c>
      <c r="D17" s="162">
        <f>6072+115</f>
        <v>6187</v>
      </c>
      <c r="E17" s="162">
        <f>6072+115</f>
        <v>6187</v>
      </c>
      <c r="F17" s="162">
        <f>6072+115</f>
        <v>6187</v>
      </c>
      <c r="G17" s="163" t="s">
        <v>415</v>
      </c>
      <c r="H17" s="163" t="s">
        <v>415</v>
      </c>
      <c r="I17" s="163" t="s">
        <v>415</v>
      </c>
      <c r="J17" s="163" t="s">
        <v>415</v>
      </c>
    </row>
    <row r="18" spans="1:10" s="158" customFormat="1" ht="14.25">
      <c r="A18" s="159" t="s">
        <v>419</v>
      </c>
      <c r="B18" s="70"/>
      <c r="C18" s="70"/>
      <c r="D18" s="70"/>
      <c r="E18" s="70"/>
      <c r="F18" s="70"/>
      <c r="G18" s="161">
        <f>247778471.36/1000+30404000/1000+61566272/1000</f>
        <v>339748.74336</v>
      </c>
      <c r="H18" s="161">
        <f>340772315.29/1000</f>
        <v>340772.31529</v>
      </c>
      <c r="I18" s="161">
        <f>341110539.87/1000</f>
        <v>341110.53987</v>
      </c>
      <c r="J18" s="161">
        <f>341454456.28/1000</f>
        <v>341454.45628</v>
      </c>
    </row>
    <row r="19" spans="1:10" s="158" customFormat="1" ht="14.25">
      <c r="A19" s="79" t="s">
        <v>420</v>
      </c>
      <c r="B19" s="96" t="s">
        <v>28</v>
      </c>
      <c r="C19" s="162">
        <f>6803-80</f>
        <v>6723</v>
      </c>
      <c r="D19" s="162">
        <v>6803</v>
      </c>
      <c r="E19" s="162">
        <v>6803</v>
      </c>
      <c r="F19" s="162">
        <v>6803</v>
      </c>
      <c r="G19" s="163" t="s">
        <v>415</v>
      </c>
      <c r="H19" s="163" t="s">
        <v>415</v>
      </c>
      <c r="I19" s="163" t="s">
        <v>415</v>
      </c>
      <c r="J19" s="163" t="s">
        <v>415</v>
      </c>
    </row>
    <row r="20" spans="1:10" s="158" customFormat="1" ht="14.25">
      <c r="A20" s="159" t="s">
        <v>421</v>
      </c>
      <c r="B20" s="164"/>
      <c r="C20" s="96"/>
      <c r="D20" s="96"/>
      <c r="E20" s="96"/>
      <c r="F20" s="96"/>
      <c r="G20" s="163">
        <f>181847516.25/1000+995960/1000+275041.7/1000</f>
        <v>183118.51794999998</v>
      </c>
      <c r="H20" s="163">
        <f>206989992.2/1000</f>
        <v>206989.99219999998</v>
      </c>
      <c r="I20" s="163">
        <f>207433864.06/1000</f>
        <v>207433.86406</v>
      </c>
      <c r="J20" s="163">
        <f>207885120.37/1000</f>
        <v>207885.12037000002</v>
      </c>
    </row>
    <row r="21" spans="1:10" s="158" customFormat="1" ht="12.75">
      <c r="A21" s="79" t="s">
        <v>422</v>
      </c>
      <c r="B21" s="96" t="s">
        <v>44</v>
      </c>
      <c r="C21" s="165">
        <v>100</v>
      </c>
      <c r="D21" s="165">
        <v>100</v>
      </c>
      <c r="E21" s="165">
        <v>100</v>
      </c>
      <c r="F21" s="165">
        <v>100</v>
      </c>
      <c r="G21" s="163" t="s">
        <v>415</v>
      </c>
      <c r="H21" s="163" t="s">
        <v>415</v>
      </c>
      <c r="I21" s="163" t="s">
        <v>415</v>
      </c>
      <c r="J21" s="163" t="s">
        <v>415</v>
      </c>
    </row>
    <row r="22" spans="1:10" s="158" customFormat="1" ht="30" customHeight="1">
      <c r="A22" s="159" t="s">
        <v>423</v>
      </c>
      <c r="B22" s="96"/>
      <c r="C22" s="96"/>
      <c r="D22" s="96"/>
      <c r="E22" s="96"/>
      <c r="F22" s="96"/>
      <c r="G22" s="163">
        <f>119510448.41/1000+613286/1000</f>
        <v>120123.73440999999</v>
      </c>
      <c r="H22" s="163">
        <v>0</v>
      </c>
      <c r="I22" s="163">
        <v>0</v>
      </c>
      <c r="J22" s="163">
        <v>0</v>
      </c>
    </row>
    <row r="23" spans="1:10" s="158" customFormat="1" ht="18" customHeight="1">
      <c r="A23" s="79" t="s">
        <v>422</v>
      </c>
      <c r="B23" s="96" t="s">
        <v>44</v>
      </c>
      <c r="C23" s="162">
        <v>100</v>
      </c>
      <c r="D23" s="165">
        <v>100</v>
      </c>
      <c r="E23" s="165">
        <v>100</v>
      </c>
      <c r="F23" s="165">
        <v>100</v>
      </c>
      <c r="G23" s="163" t="s">
        <v>415</v>
      </c>
      <c r="H23" s="163" t="s">
        <v>415</v>
      </c>
      <c r="I23" s="163" t="s">
        <v>415</v>
      </c>
      <c r="J23" s="163" t="s">
        <v>415</v>
      </c>
    </row>
    <row r="24" spans="1:10" s="158" customFormat="1" ht="26.25">
      <c r="A24" s="159" t="s">
        <v>424</v>
      </c>
      <c r="B24" s="96"/>
      <c r="C24" s="96"/>
      <c r="D24" s="96"/>
      <c r="E24" s="96"/>
      <c r="F24" s="96"/>
      <c r="G24" s="163">
        <f>481643129.27/1000+6100741/1000</f>
        <v>487743.87026999996</v>
      </c>
      <c r="H24" s="163">
        <f>565026144.29/1000</f>
        <v>565026.14429</v>
      </c>
      <c r="I24" s="163">
        <f>565767500.68/1000</f>
        <v>565767.5006799999</v>
      </c>
      <c r="J24" s="163">
        <f>566521190.51/1000</f>
        <v>566521.19051</v>
      </c>
    </row>
    <row r="25" spans="1:10" s="158" customFormat="1" ht="16.5" customHeight="1">
      <c r="A25" s="79" t="s">
        <v>422</v>
      </c>
      <c r="B25" s="96" t="s">
        <v>44</v>
      </c>
      <c r="C25" s="165">
        <v>100</v>
      </c>
      <c r="D25" s="165">
        <v>100</v>
      </c>
      <c r="E25" s="165">
        <v>100</v>
      </c>
      <c r="F25" s="165">
        <v>100</v>
      </c>
      <c r="G25" s="163" t="s">
        <v>415</v>
      </c>
      <c r="H25" s="163" t="s">
        <v>415</v>
      </c>
      <c r="I25" s="163" t="s">
        <v>415</v>
      </c>
      <c r="J25" s="163" t="s">
        <v>415</v>
      </c>
    </row>
    <row r="26" spans="1:10" s="158" customFormat="1" ht="14.25">
      <c r="A26" s="159" t="s">
        <v>425</v>
      </c>
      <c r="B26" s="96"/>
      <c r="C26" s="96"/>
      <c r="D26" s="96"/>
      <c r="E26" s="96"/>
      <c r="F26" s="96"/>
      <c r="G26" s="163">
        <f>12441011.71/1000+51794/1000+117051.76/1000</f>
        <v>12609.85747</v>
      </c>
      <c r="H26" s="163">
        <f>14378096.43/1000</f>
        <v>14378.09643</v>
      </c>
      <c r="I26" s="163">
        <f>14401961.26/1000</f>
        <v>14401.96126</v>
      </c>
      <c r="J26" s="163">
        <f>14426223.11/1000</f>
        <v>14426.223109999999</v>
      </c>
    </row>
    <row r="27" spans="1:10" s="158" customFormat="1" ht="14.25" customHeight="1">
      <c r="A27" s="79" t="s">
        <v>422</v>
      </c>
      <c r="B27" s="96" t="s">
        <v>44</v>
      </c>
      <c r="C27" s="165">
        <v>100</v>
      </c>
      <c r="D27" s="165">
        <v>100</v>
      </c>
      <c r="E27" s="165">
        <v>100</v>
      </c>
      <c r="F27" s="165">
        <v>100</v>
      </c>
      <c r="G27" s="163" t="s">
        <v>415</v>
      </c>
      <c r="H27" s="163" t="s">
        <v>415</v>
      </c>
      <c r="I27" s="163" t="s">
        <v>415</v>
      </c>
      <c r="J27" s="163" t="s">
        <v>415</v>
      </c>
    </row>
    <row r="28" spans="1:10" s="158" customFormat="1" ht="14.25">
      <c r="A28" s="159" t="s">
        <v>426</v>
      </c>
      <c r="B28" s="96"/>
      <c r="C28" s="96"/>
      <c r="D28" s="96"/>
      <c r="E28" s="96"/>
      <c r="F28" s="96"/>
      <c r="G28" s="163">
        <f>3547842.77/1000+35953.24/1000</f>
        <v>3583.79601</v>
      </c>
      <c r="H28" s="163">
        <f>3679904.25/1000</f>
        <v>3679.90425</v>
      </c>
      <c r="I28" s="163">
        <f>3686012.17/1000</f>
        <v>3686.01217</v>
      </c>
      <c r="J28" s="163">
        <f>3692221.7/1000</f>
        <v>3692.2217</v>
      </c>
    </row>
    <row r="29" spans="1:10" s="158" customFormat="1" ht="12.75">
      <c r="A29" s="79" t="s">
        <v>422</v>
      </c>
      <c r="B29" s="96" t="s">
        <v>44</v>
      </c>
      <c r="C29" s="165">
        <v>100</v>
      </c>
      <c r="D29" s="165">
        <v>100</v>
      </c>
      <c r="E29" s="165">
        <v>100</v>
      </c>
      <c r="F29" s="165">
        <v>100</v>
      </c>
      <c r="G29" s="163" t="s">
        <v>415</v>
      </c>
      <c r="H29" s="163" t="s">
        <v>415</v>
      </c>
      <c r="I29" s="163" t="s">
        <v>415</v>
      </c>
      <c r="J29" s="163" t="s">
        <v>415</v>
      </c>
    </row>
    <row r="30" spans="1:10" s="170" customFormat="1" ht="26.25">
      <c r="A30" s="166" t="s">
        <v>427</v>
      </c>
      <c r="B30" s="167"/>
      <c r="C30" s="168"/>
      <c r="D30" s="168"/>
      <c r="E30" s="168"/>
      <c r="F30" s="168"/>
      <c r="G30" s="169">
        <f>G12+G14+G16+G18+G20+G22+G24+G26+G28</f>
        <v>1851926.56759</v>
      </c>
      <c r="H30" s="169">
        <f>H12+H14+H16+H18+H20+H22+H24+H26+H28</f>
        <v>2007520.5407499997</v>
      </c>
      <c r="I30" s="169">
        <f>I12+I14+I16+I18+I20+I22+I24+I26+I28</f>
        <v>2013239.82746</v>
      </c>
      <c r="J30" s="169">
        <f>J12+J14+J16+J18+J20+J22+J24+J26+J28</f>
        <v>2019436.4017</v>
      </c>
    </row>
    <row r="31" spans="1:10" s="158" customFormat="1" ht="14.25">
      <c r="A31" s="159" t="s">
        <v>428</v>
      </c>
      <c r="B31" s="96"/>
      <c r="C31" s="96"/>
      <c r="D31" s="96"/>
      <c r="E31" s="96"/>
      <c r="F31" s="96"/>
      <c r="G31" s="171">
        <f>342711+2961230/1000</f>
        <v>345672.23</v>
      </c>
      <c r="H31" s="171">
        <f>306587459.27/1000</f>
        <v>306587.45927</v>
      </c>
      <c r="I31" s="171">
        <f>319248472.56/1000</f>
        <v>319248.47256</v>
      </c>
      <c r="J31" s="171">
        <f>331514498.32/1000</f>
        <v>331514.49832</v>
      </c>
    </row>
    <row r="32" spans="1:10" s="158" customFormat="1" ht="13.5">
      <c r="A32" s="159" t="s">
        <v>429</v>
      </c>
      <c r="B32" s="96"/>
      <c r="C32" s="96"/>
      <c r="D32" s="96"/>
      <c r="E32" s="96"/>
      <c r="F32" s="96"/>
      <c r="G32" s="171">
        <f>G30+G31</f>
        <v>2197598.79759</v>
      </c>
      <c r="H32" s="171">
        <f>H30+H31</f>
        <v>2314108.0000199997</v>
      </c>
      <c r="I32" s="171">
        <f>I30+I31</f>
        <v>2332488.30002</v>
      </c>
      <c r="J32" s="171">
        <f>J30+J31</f>
        <v>2350950.90002</v>
      </c>
    </row>
  </sheetData>
  <sheetProtection selectLockedCells="1" selectUnlockedCells="1"/>
  <mergeCells count="10">
    <mergeCell ref="D1:J1"/>
    <mergeCell ref="E2:J2"/>
    <mergeCell ref="A4:J4"/>
    <mergeCell ref="A6:A7"/>
    <mergeCell ref="B6:B7"/>
    <mergeCell ref="C6:F6"/>
    <mergeCell ref="G6:J6"/>
    <mergeCell ref="A9:J9"/>
    <mergeCell ref="A10:J10"/>
    <mergeCell ref="A11:J11"/>
  </mergeCells>
  <printOptions/>
  <pageMargins left="0.75" right="0.75" top="1" bottom="1"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30"/>
    <pageSetUpPr fitToPage="1"/>
  </sheetPr>
  <dimension ref="A1:N97"/>
  <sheetViews>
    <sheetView zoomScaleSheetLayoutView="80" workbookViewId="0" topLeftCell="A79">
      <selection activeCell="B91" sqref="B91"/>
    </sheetView>
  </sheetViews>
  <sheetFormatPr defaultColWidth="9.00390625" defaultRowHeight="12.75"/>
  <cols>
    <col min="1" max="1" width="20.875" style="172" customWidth="1"/>
    <col min="2" max="2" width="64.50390625" style="56" customWidth="1"/>
    <col min="3" max="3" width="37.125" style="56" customWidth="1"/>
    <col min="4" max="4" width="21.125" style="56" customWidth="1"/>
    <col min="5" max="5" width="20.50390625" style="56" customWidth="1"/>
    <col min="6" max="6" width="21.50390625" style="56" customWidth="1"/>
    <col min="7" max="13" width="12.625" style="173" customWidth="1"/>
    <col min="14" max="14" width="12.50390625" style="56" customWidth="1"/>
    <col min="15" max="16384" width="9.125" style="56" customWidth="1"/>
  </cols>
  <sheetData>
    <row r="1" spans="1:13" s="60" customFormat="1" ht="15" hidden="1">
      <c r="A1" s="174"/>
      <c r="B1" s="175"/>
      <c r="C1" s="58"/>
      <c r="D1" s="132"/>
      <c r="E1" s="132"/>
      <c r="F1" s="132"/>
      <c r="G1" s="176"/>
      <c r="H1" s="173">
        <f>8783137.89897-19000-19000-2000-134.255-220-2483.7-400-200-59.521</f>
        <v>8739640.42297</v>
      </c>
      <c r="I1" s="173">
        <f>9214963.55726-400-2612.8-220-200</f>
        <v>9211530.757259998</v>
      </c>
      <c r="J1" s="173">
        <f>9754087.37036-400-2743.5</f>
        <v>9750943.87036</v>
      </c>
      <c r="K1" s="173">
        <f>1317791.473-19000-59.521</f>
        <v>1298731.952</v>
      </c>
      <c r="L1" s="173">
        <v>1363491.7</v>
      </c>
      <c r="M1" s="173">
        <v>1440584.6</v>
      </c>
    </row>
    <row r="2" spans="1:13" s="60" customFormat="1" ht="14.25" customHeight="1">
      <c r="A2" s="174"/>
      <c r="B2" s="175"/>
      <c r="C2" s="58"/>
      <c r="D2" s="59" t="s">
        <v>430</v>
      </c>
      <c r="E2" s="59"/>
      <c r="F2" s="59"/>
      <c r="G2" s="176"/>
      <c r="H2" s="173">
        <f>H1-D9</f>
        <v>0.004999998956918716</v>
      </c>
      <c r="I2" s="173">
        <f>I1-E9</f>
        <v>0</v>
      </c>
      <c r="J2" s="173">
        <f>J1-F9</f>
        <v>-0.029999999329447746</v>
      </c>
      <c r="K2" s="173">
        <f>K1-K8</f>
        <v>0</v>
      </c>
      <c r="L2" s="173">
        <f>L1-L8</f>
        <v>0</v>
      </c>
      <c r="M2" s="173">
        <f>M1-M8</f>
        <v>0</v>
      </c>
    </row>
    <row r="3" spans="1:13" s="60" customFormat="1" ht="48" customHeight="1">
      <c r="A3" s="177" t="s">
        <v>431</v>
      </c>
      <c r="B3" s="177"/>
      <c r="C3" s="177"/>
      <c r="D3" s="177"/>
      <c r="E3" s="177"/>
      <c r="F3" s="177"/>
      <c r="G3" s="176"/>
      <c r="H3" s="176"/>
      <c r="I3" s="173"/>
      <c r="J3" s="173"/>
      <c r="K3" s="173"/>
      <c r="L3" s="173"/>
      <c r="M3" s="173"/>
    </row>
    <row r="4" spans="1:13" s="60" customFormat="1" ht="31.5" customHeight="1">
      <c r="A4" s="178"/>
      <c r="B4" s="178"/>
      <c r="C4" s="178"/>
      <c r="D4" s="178"/>
      <c r="E4" s="179"/>
      <c r="F4" s="179"/>
      <c r="G4" s="176"/>
      <c r="I4" s="176"/>
      <c r="J4" s="176"/>
      <c r="K4" s="173"/>
      <c r="L4" s="173"/>
      <c r="M4" s="173"/>
    </row>
    <row r="5" spans="1:6" ht="37.5" customHeight="1">
      <c r="A5" s="180" t="s">
        <v>432</v>
      </c>
      <c r="B5" s="181" t="s">
        <v>433</v>
      </c>
      <c r="C5" s="181" t="s">
        <v>434</v>
      </c>
      <c r="D5" s="182" t="s">
        <v>435</v>
      </c>
      <c r="E5" s="182"/>
      <c r="F5" s="182"/>
    </row>
    <row r="6" spans="1:10" ht="33" customHeight="1">
      <c r="A6" s="180"/>
      <c r="B6" s="181"/>
      <c r="C6" s="181"/>
      <c r="D6" s="182">
        <v>2013</v>
      </c>
      <c r="E6" s="182">
        <v>2014</v>
      </c>
      <c r="F6" s="182">
        <v>2015</v>
      </c>
      <c r="H6" s="173">
        <f>H8+K8</f>
        <v>8960854.21797</v>
      </c>
      <c r="I6" s="173">
        <f>I8+L8</f>
        <v>9379371.95726</v>
      </c>
      <c r="J6" s="173">
        <f>J8+M8</f>
        <v>9918785.100359999</v>
      </c>
    </row>
    <row r="7" spans="1:10" ht="12.75">
      <c r="A7" s="180">
        <v>1</v>
      </c>
      <c r="B7" s="180">
        <v>2</v>
      </c>
      <c r="C7" s="180">
        <v>3</v>
      </c>
      <c r="D7" s="183">
        <v>4</v>
      </c>
      <c r="E7" s="183">
        <v>5</v>
      </c>
      <c r="F7" s="183">
        <v>6</v>
      </c>
      <c r="H7" s="173">
        <f>D8-H6</f>
        <v>0</v>
      </c>
      <c r="I7" s="173">
        <f>E8-I6</f>
        <v>0</v>
      </c>
      <c r="J7" s="173">
        <f>F8-J6</f>
        <v>0</v>
      </c>
    </row>
    <row r="8" spans="1:14" ht="12.75" customHeight="1">
      <c r="A8" s="184" t="s">
        <v>436</v>
      </c>
      <c r="B8" s="185" t="s">
        <v>437</v>
      </c>
      <c r="C8" s="185" t="s">
        <v>438</v>
      </c>
      <c r="D8" s="186">
        <f>SUM(D9:D12)</f>
        <v>8960854.217970002</v>
      </c>
      <c r="E8" s="186">
        <f>E9+E10+E11+E12</f>
        <v>9379371.957259998</v>
      </c>
      <c r="F8" s="186">
        <f>SUM(F9:F12)</f>
        <v>9918785.100359999</v>
      </c>
      <c r="G8" s="187"/>
      <c r="H8" s="186">
        <f aca="true" t="shared" si="0" ref="H8:M8">SUM(H9:H12)</f>
        <v>7662122.265970001</v>
      </c>
      <c r="I8" s="186">
        <f t="shared" si="0"/>
        <v>8015880.257259999</v>
      </c>
      <c r="J8" s="186">
        <f t="shared" si="0"/>
        <v>8478200.500359999</v>
      </c>
      <c r="K8" s="186">
        <f t="shared" si="0"/>
        <v>1298731.952</v>
      </c>
      <c r="L8" s="186">
        <f t="shared" si="0"/>
        <v>1363491.7</v>
      </c>
      <c r="M8" s="186">
        <f t="shared" si="0"/>
        <v>1440584.5999999999</v>
      </c>
      <c r="N8" s="95">
        <f>D8+E8+F8</f>
        <v>28259011.27559</v>
      </c>
    </row>
    <row r="9" spans="1:13" ht="26.25">
      <c r="A9" s="184"/>
      <c r="B9" s="185"/>
      <c r="C9" s="188" t="s">
        <v>134</v>
      </c>
      <c r="D9" s="186">
        <f>D13+D65+D89</f>
        <v>8739640.417970002</v>
      </c>
      <c r="E9" s="186">
        <f>E13+E65+E89</f>
        <v>9211530.757259998</v>
      </c>
      <c r="F9" s="186">
        <f>F13+F65+F89</f>
        <v>9750943.90036</v>
      </c>
      <c r="H9" s="186">
        <f aca="true" t="shared" si="1" ref="H9:M9">H13+H65+H89</f>
        <v>7440908.465970001</v>
      </c>
      <c r="I9" s="186">
        <f t="shared" si="1"/>
        <v>7848039.057259999</v>
      </c>
      <c r="J9" s="186">
        <f t="shared" si="1"/>
        <v>8310359.30036</v>
      </c>
      <c r="K9" s="186">
        <f t="shared" si="1"/>
        <v>1298731.952</v>
      </c>
      <c r="L9" s="186">
        <f t="shared" si="1"/>
        <v>1363491.7</v>
      </c>
      <c r="M9" s="186">
        <f t="shared" si="1"/>
        <v>1440584.5999999999</v>
      </c>
    </row>
    <row r="10" spans="1:13" ht="26.25">
      <c r="A10" s="184"/>
      <c r="B10" s="185"/>
      <c r="C10" s="188" t="s">
        <v>439</v>
      </c>
      <c r="D10" s="186">
        <f aca="true" t="shared" si="2" ref="D10:F11">D14</f>
        <v>2001.2</v>
      </c>
      <c r="E10" s="186">
        <f t="shared" si="2"/>
        <v>2001.2</v>
      </c>
      <c r="F10" s="186">
        <f t="shared" si="2"/>
        <v>2001.2</v>
      </c>
      <c r="H10" s="186">
        <f aca="true" t="shared" si="3" ref="H10:M11">H14</f>
        <v>2001.2</v>
      </c>
      <c r="I10" s="186">
        <f t="shared" si="3"/>
        <v>2001.2</v>
      </c>
      <c r="J10" s="186">
        <f t="shared" si="3"/>
        <v>2001.2</v>
      </c>
      <c r="K10" s="186">
        <f t="shared" si="3"/>
        <v>0</v>
      </c>
      <c r="L10" s="186">
        <f t="shared" si="3"/>
        <v>0</v>
      </c>
      <c r="M10" s="186">
        <f t="shared" si="3"/>
        <v>0</v>
      </c>
    </row>
    <row r="11" spans="1:13" ht="26.25">
      <c r="A11" s="184"/>
      <c r="B11" s="185"/>
      <c r="C11" s="188" t="s">
        <v>440</v>
      </c>
      <c r="D11" s="186">
        <f t="shared" si="2"/>
        <v>208720.6</v>
      </c>
      <c r="E11" s="186">
        <f t="shared" si="2"/>
        <v>165840</v>
      </c>
      <c r="F11" s="186">
        <f t="shared" si="2"/>
        <v>165840</v>
      </c>
      <c r="H11" s="186">
        <f t="shared" si="3"/>
        <v>208720.6</v>
      </c>
      <c r="I11" s="186">
        <f t="shared" si="3"/>
        <v>165840</v>
      </c>
      <c r="J11" s="186">
        <f t="shared" si="3"/>
        <v>165840</v>
      </c>
      <c r="K11" s="186">
        <f t="shared" si="3"/>
        <v>0</v>
      </c>
      <c r="L11" s="186">
        <f t="shared" si="3"/>
        <v>0</v>
      </c>
      <c r="M11" s="186">
        <f t="shared" si="3"/>
        <v>0</v>
      </c>
    </row>
    <row r="12" spans="1:13" ht="39">
      <c r="A12" s="184"/>
      <c r="B12" s="185"/>
      <c r="C12" s="188" t="s">
        <v>254</v>
      </c>
      <c r="D12" s="186">
        <f>D66</f>
        <v>10492</v>
      </c>
      <c r="E12" s="186">
        <f>E66</f>
        <v>0</v>
      </c>
      <c r="F12" s="186">
        <f>F66</f>
        <v>0</v>
      </c>
      <c r="H12" s="186">
        <f aca="true" t="shared" si="4" ref="H12:M12">H66</f>
        <v>10492</v>
      </c>
      <c r="I12" s="186">
        <f t="shared" si="4"/>
        <v>0</v>
      </c>
      <c r="J12" s="186">
        <f t="shared" si="4"/>
        <v>0</v>
      </c>
      <c r="K12" s="186">
        <f t="shared" si="4"/>
        <v>0</v>
      </c>
      <c r="L12" s="186">
        <f t="shared" si="4"/>
        <v>0</v>
      </c>
      <c r="M12" s="186">
        <f t="shared" si="4"/>
        <v>0</v>
      </c>
    </row>
    <row r="13" spans="1:13" ht="26.25" customHeight="1">
      <c r="A13" s="189" t="s">
        <v>441</v>
      </c>
      <c r="B13" s="185" t="s">
        <v>442</v>
      </c>
      <c r="C13" s="188" t="s">
        <v>134</v>
      </c>
      <c r="D13" s="186">
        <f>D17+D19+D20+D21+D22+D23+D24+D25+D26+D27+D28+D29+D30+D31+D32+D33+D34+D35+D36+D38+D39+D40+D41+D42+D45+D46+D48+D49+D51+D52+D53+D55+D56+D58+D43+D59</f>
        <v>6125734.939890001</v>
      </c>
      <c r="E13" s="186">
        <f>E17+E19+E20+E21+E22+E23+E24+E25+E26+E27+E28+E29+E30+E31+E32+E33+E34+E35+E36+E38+E39+E40+E41+E42+E45+E46+E48+E49+E51+E52+E53+E55+E56+E58+E59</f>
        <v>6786924.95726</v>
      </c>
      <c r="F13" s="186">
        <f>F17+F19+F20+F21+F22+F23+F24+F25+F26+F27+F28+F29+F30+F31+F32+F33+F34+F35+F36+F38+F39+F40+F41+F42+F45+F46+F48+F49+F51+F52+F53+F55+F56+F58+F59</f>
        <v>7300838.10036</v>
      </c>
      <c r="H13" s="186">
        <f>H17+H19+H20+H21+H22+H23+H24+H25+H26+H27+H28+H29+H30+H31+H32+H33+H34+H35+H36+H38+H39+H40+H41+H42+H45+H46+H48+H49+H51+H52+H53+H55+H56+H58+H59</f>
        <v>4830849.087890001</v>
      </c>
      <c r="I13" s="186">
        <f>I17+I19+I20+I21+I22+I23+I24+I25+I26+I27+I28+I29+I30+I31+I32+I33+I34+I35+I36+I38+I39+I40+I41+I42+I45+I46+I48+I49+I51+I52+I53+I55+I56+I58+I59</f>
        <v>5423847.757259999</v>
      </c>
      <c r="J13" s="186">
        <f>J17+J19+J20+J21+J22+J23+J24+J25+J26+J27+J28+J29+J30+J31+J32+J33+J34+J35+J36+J38+J39+J40+J41+J42+J45+J46+J48+J49+J51+J52+J53+J55+J56+J58+J59</f>
        <v>5860688.80036</v>
      </c>
      <c r="K13" s="186">
        <f>K17+K19+K20+K21+K22+K23+K24+K25+K26+K27+K28+K29+K30+K31+K32+K33+K34+K35+K36+K38+K39+K40+K41+K42+K45+K46+K47+K48+K49+K51+K52+K53+K54+K55+K56+K57+K58+K43+K59</f>
        <v>1294885.852</v>
      </c>
      <c r="L13" s="186">
        <f>L17+L19+L20+L21+L22+L23+L24+L25+L26+L27+L28+L29+L30+L31+L32+L33+L34+L35+L36+L38+L39+L40+L41+L42+L45+L46+L47+L48+L49+L51+L52+L53+L54+L55+L56+L57+L58+L43+L59</f>
        <v>1363077.2</v>
      </c>
      <c r="M13" s="186">
        <f>M17+M19+M20+M21+M22+M23+M24+M25+M26+M27+M28+M29+M30+M31+M32+M33+M34+M35+M36+M38+M39+M40+M41+M42+M45+M46+M47+M48+M49+M51+M52+M53+M54+M55+M56+M57+M58+M43+M59</f>
        <v>1440149.2999999998</v>
      </c>
    </row>
    <row r="14" spans="1:13" ht="26.25">
      <c r="A14" s="189"/>
      <c r="B14" s="185"/>
      <c r="C14" s="188" t="s">
        <v>439</v>
      </c>
      <c r="D14" s="186">
        <f>D18</f>
        <v>2001.2</v>
      </c>
      <c r="E14" s="186">
        <f>E18</f>
        <v>2001.2</v>
      </c>
      <c r="F14" s="186">
        <f>F18</f>
        <v>2001.2</v>
      </c>
      <c r="G14" s="187"/>
      <c r="H14" s="186">
        <f aca="true" t="shared" si="5" ref="H14:M14">H18</f>
        <v>2001.2</v>
      </c>
      <c r="I14" s="186">
        <f t="shared" si="5"/>
        <v>2001.2</v>
      </c>
      <c r="J14" s="186">
        <f t="shared" si="5"/>
        <v>2001.2</v>
      </c>
      <c r="K14" s="186">
        <f t="shared" si="5"/>
        <v>0</v>
      </c>
      <c r="L14" s="186">
        <f t="shared" si="5"/>
        <v>0</v>
      </c>
      <c r="M14" s="186">
        <f t="shared" si="5"/>
        <v>0</v>
      </c>
    </row>
    <row r="15" spans="1:13" ht="26.25">
      <c r="A15" s="189"/>
      <c r="B15" s="185"/>
      <c r="C15" s="188" t="s">
        <v>440</v>
      </c>
      <c r="D15" s="186">
        <f>D37</f>
        <v>208720.6</v>
      </c>
      <c r="E15" s="186">
        <f>E37</f>
        <v>165840</v>
      </c>
      <c r="F15" s="186">
        <f>F37</f>
        <v>165840</v>
      </c>
      <c r="H15" s="186">
        <f aca="true" t="shared" si="6" ref="H15:M15">H37</f>
        <v>208720.6</v>
      </c>
      <c r="I15" s="186">
        <f t="shared" si="6"/>
        <v>165840</v>
      </c>
      <c r="J15" s="186">
        <f t="shared" si="6"/>
        <v>165840</v>
      </c>
      <c r="K15" s="186">
        <f t="shared" si="6"/>
        <v>0</v>
      </c>
      <c r="L15" s="186">
        <f t="shared" si="6"/>
        <v>0</v>
      </c>
      <c r="M15" s="186">
        <f t="shared" si="6"/>
        <v>0</v>
      </c>
    </row>
    <row r="16" spans="1:13" ht="25.5" customHeight="1">
      <c r="A16" s="190" t="s">
        <v>125</v>
      </c>
      <c r="B16" s="190"/>
      <c r="C16" s="190"/>
      <c r="D16" s="190"/>
      <c r="E16" s="190"/>
      <c r="F16" s="190"/>
      <c r="H16" s="186"/>
      <c r="I16" s="186"/>
      <c r="J16" s="186"/>
      <c r="K16" s="186"/>
      <c r="L16" s="186"/>
      <c r="M16" s="186"/>
    </row>
    <row r="17" spans="1:13" ht="26.25" customHeight="1">
      <c r="A17" s="191" t="s">
        <v>443</v>
      </c>
      <c r="B17" s="192" t="s">
        <v>444</v>
      </c>
      <c r="C17" s="101" t="s">
        <v>134</v>
      </c>
      <c r="D17" s="193">
        <v>2681494.40389</v>
      </c>
      <c r="E17" s="193">
        <v>2960832.69182</v>
      </c>
      <c r="F17" s="193">
        <v>3223285.61098</v>
      </c>
      <c r="H17" s="193">
        <f aca="true" t="shared" si="7" ref="H17:J18">D17</f>
        <v>2681494.40389</v>
      </c>
      <c r="I17" s="193">
        <f t="shared" si="7"/>
        <v>2960832.69182</v>
      </c>
      <c r="J17" s="193">
        <f t="shared" si="7"/>
        <v>3223285.61098</v>
      </c>
      <c r="K17" s="193"/>
      <c r="L17" s="193"/>
      <c r="M17" s="193"/>
    </row>
    <row r="18" spans="1:13" ht="26.25">
      <c r="A18" s="191"/>
      <c r="B18" s="192"/>
      <c r="C18" s="101" t="s">
        <v>439</v>
      </c>
      <c r="D18" s="193">
        <v>2001.2</v>
      </c>
      <c r="E18" s="193">
        <v>2001.2</v>
      </c>
      <c r="F18" s="193">
        <v>2001.2</v>
      </c>
      <c r="H18" s="193">
        <f t="shared" si="7"/>
        <v>2001.2</v>
      </c>
      <c r="I18" s="193">
        <f t="shared" si="7"/>
        <v>2001.2</v>
      </c>
      <c r="J18" s="193">
        <f t="shared" si="7"/>
        <v>2001.2</v>
      </c>
      <c r="K18" s="193"/>
      <c r="L18" s="193"/>
      <c r="M18" s="193"/>
    </row>
    <row r="19" spans="1:13" ht="24.75">
      <c r="A19" s="191" t="s">
        <v>445</v>
      </c>
      <c r="B19" s="194" t="s">
        <v>446</v>
      </c>
      <c r="C19" s="195" t="s">
        <v>134</v>
      </c>
      <c r="D19" s="193">
        <f>717422.8+1260</f>
        <v>718682.8</v>
      </c>
      <c r="E19" s="193">
        <v>860542.6</v>
      </c>
      <c r="F19" s="193">
        <v>920417.2</v>
      </c>
      <c r="H19" s="193"/>
      <c r="I19" s="193"/>
      <c r="J19" s="193"/>
      <c r="K19" s="193">
        <f>D19</f>
        <v>718682.8</v>
      </c>
      <c r="L19" s="193">
        <f>E19</f>
        <v>860542.6</v>
      </c>
      <c r="M19" s="193">
        <f>F19</f>
        <v>920417.2</v>
      </c>
    </row>
    <row r="20" spans="1:13" ht="28.5" customHeight="1">
      <c r="A20" s="191" t="s">
        <v>447</v>
      </c>
      <c r="B20" s="78" t="s">
        <v>448</v>
      </c>
      <c r="C20" s="195" t="s">
        <v>134</v>
      </c>
      <c r="D20" s="193">
        <v>175244.2</v>
      </c>
      <c r="E20" s="193">
        <v>161876.7</v>
      </c>
      <c r="F20" s="193">
        <v>161876.7</v>
      </c>
      <c r="H20" s="193">
        <f aca="true" t="shared" si="8" ref="H20:H31">D20</f>
        <v>175244.2</v>
      </c>
      <c r="I20" s="193">
        <f aca="true" t="shared" si="9" ref="I20:I31">E20</f>
        <v>161876.7</v>
      </c>
      <c r="J20" s="193">
        <f aca="true" t="shared" si="10" ref="J20:J31">F20</f>
        <v>161876.7</v>
      </c>
      <c r="K20" s="193"/>
      <c r="L20" s="193"/>
      <c r="M20" s="193"/>
    </row>
    <row r="21" spans="1:13" ht="24.75">
      <c r="A21" s="191" t="s">
        <v>449</v>
      </c>
      <c r="B21" s="194" t="s">
        <v>450</v>
      </c>
      <c r="C21" s="195" t="s">
        <v>134</v>
      </c>
      <c r="D21" s="193">
        <v>177034.96</v>
      </c>
      <c r="E21" s="193">
        <v>185650.9</v>
      </c>
      <c r="F21" s="193">
        <v>185650.9</v>
      </c>
      <c r="H21" s="193">
        <f t="shared" si="8"/>
        <v>177034.96</v>
      </c>
      <c r="I21" s="193">
        <f t="shared" si="9"/>
        <v>185650.9</v>
      </c>
      <c r="J21" s="193">
        <f t="shared" si="10"/>
        <v>185650.9</v>
      </c>
      <c r="K21" s="193"/>
      <c r="L21" s="193"/>
      <c r="M21" s="193"/>
    </row>
    <row r="22" spans="1:13" ht="24.75">
      <c r="A22" s="191" t="s">
        <v>451</v>
      </c>
      <c r="B22" s="88" t="s">
        <v>452</v>
      </c>
      <c r="C22" s="101" t="s">
        <v>134</v>
      </c>
      <c r="D22" s="193">
        <v>9134.024</v>
      </c>
      <c r="E22" s="193">
        <v>10742.06544</v>
      </c>
      <c r="F22" s="193">
        <v>11386.58938</v>
      </c>
      <c r="H22" s="193">
        <f t="shared" si="8"/>
        <v>9134.024</v>
      </c>
      <c r="I22" s="193">
        <f t="shared" si="9"/>
        <v>10742.06544</v>
      </c>
      <c r="J22" s="193">
        <f t="shared" si="10"/>
        <v>11386.58938</v>
      </c>
      <c r="K22" s="193"/>
      <c r="L22" s="193"/>
      <c r="M22" s="193"/>
    </row>
    <row r="23" spans="1:13" ht="39.75" customHeight="1">
      <c r="A23" s="191" t="s">
        <v>453</v>
      </c>
      <c r="B23" s="88" t="s">
        <v>454</v>
      </c>
      <c r="C23" s="101" t="s">
        <v>134</v>
      </c>
      <c r="D23" s="193">
        <v>49365.3</v>
      </c>
      <c r="E23" s="193">
        <v>55357.5</v>
      </c>
      <c r="F23" s="193">
        <v>58226.4</v>
      </c>
      <c r="H23" s="193">
        <f t="shared" si="8"/>
        <v>49365.3</v>
      </c>
      <c r="I23" s="193">
        <f t="shared" si="9"/>
        <v>55357.5</v>
      </c>
      <c r="J23" s="193">
        <f t="shared" si="10"/>
        <v>58226.4</v>
      </c>
      <c r="K23" s="193"/>
      <c r="L23" s="193"/>
      <c r="M23" s="193"/>
    </row>
    <row r="24" spans="1:13" ht="40.5" customHeight="1">
      <c r="A24" s="191" t="s">
        <v>455</v>
      </c>
      <c r="B24" s="88" t="s">
        <v>456</v>
      </c>
      <c r="C24" s="101" t="s">
        <v>134</v>
      </c>
      <c r="D24" s="193">
        <v>87700</v>
      </c>
      <c r="E24" s="193">
        <v>50000</v>
      </c>
      <c r="F24" s="193">
        <v>50000</v>
      </c>
      <c r="H24" s="193">
        <f t="shared" si="8"/>
        <v>87700</v>
      </c>
      <c r="I24" s="193">
        <f t="shared" si="9"/>
        <v>50000</v>
      </c>
      <c r="J24" s="193">
        <f t="shared" si="10"/>
        <v>50000</v>
      </c>
      <c r="K24" s="193"/>
      <c r="L24" s="193"/>
      <c r="M24" s="193"/>
    </row>
    <row r="25" spans="1:13" ht="24.75">
      <c r="A25" s="191" t="s">
        <v>457</v>
      </c>
      <c r="B25" s="88" t="s">
        <v>458</v>
      </c>
      <c r="C25" s="101" t="s">
        <v>134</v>
      </c>
      <c r="D25" s="193">
        <v>11916.6</v>
      </c>
      <c r="E25" s="193">
        <v>9030</v>
      </c>
      <c r="F25" s="193">
        <v>9030</v>
      </c>
      <c r="H25" s="193">
        <f t="shared" si="8"/>
        <v>11916.6</v>
      </c>
      <c r="I25" s="193">
        <f t="shared" si="9"/>
        <v>9030</v>
      </c>
      <c r="J25" s="193">
        <f t="shared" si="10"/>
        <v>9030</v>
      </c>
      <c r="K25" s="193"/>
      <c r="L25" s="193"/>
      <c r="M25" s="193"/>
    </row>
    <row r="26" spans="1:13" ht="54.75" customHeight="1">
      <c r="A26" s="191" t="s">
        <v>459</v>
      </c>
      <c r="B26" s="88" t="s">
        <v>460</v>
      </c>
      <c r="C26" s="101" t="s">
        <v>134</v>
      </c>
      <c r="D26" s="193">
        <v>5240.7</v>
      </c>
      <c r="E26" s="193">
        <v>5240.7</v>
      </c>
      <c r="F26" s="193">
        <v>5240.7</v>
      </c>
      <c r="H26" s="193">
        <f t="shared" si="8"/>
        <v>5240.7</v>
      </c>
      <c r="I26" s="193">
        <f t="shared" si="9"/>
        <v>5240.7</v>
      </c>
      <c r="J26" s="193">
        <f t="shared" si="10"/>
        <v>5240.7</v>
      </c>
      <c r="K26" s="193"/>
      <c r="L26" s="193"/>
      <c r="M26" s="193"/>
    </row>
    <row r="27" spans="1:13" ht="39" customHeight="1">
      <c r="A27" s="191" t="s">
        <v>461</v>
      </c>
      <c r="B27" s="88" t="s">
        <v>462</v>
      </c>
      <c r="C27" s="101" t="s">
        <v>134</v>
      </c>
      <c r="D27" s="193">
        <v>501.2</v>
      </c>
      <c r="E27" s="193">
        <v>501.2</v>
      </c>
      <c r="F27" s="193">
        <v>501.2</v>
      </c>
      <c r="H27" s="193">
        <f t="shared" si="8"/>
        <v>501.2</v>
      </c>
      <c r="I27" s="193">
        <f t="shared" si="9"/>
        <v>501.2</v>
      </c>
      <c r="J27" s="193">
        <f t="shared" si="10"/>
        <v>501.2</v>
      </c>
      <c r="K27" s="193"/>
      <c r="L27" s="193"/>
      <c r="M27" s="193"/>
    </row>
    <row r="28" spans="1:13" ht="27.75" customHeight="1">
      <c r="A28" s="191" t="s">
        <v>463</v>
      </c>
      <c r="B28" s="88" t="s">
        <v>464</v>
      </c>
      <c r="C28" s="101" t="s">
        <v>134</v>
      </c>
      <c r="D28" s="193">
        <v>20</v>
      </c>
      <c r="E28" s="193">
        <v>20</v>
      </c>
      <c r="F28" s="193">
        <v>20</v>
      </c>
      <c r="H28" s="193">
        <f t="shared" si="8"/>
        <v>20</v>
      </c>
      <c r="I28" s="193">
        <f t="shared" si="9"/>
        <v>20</v>
      </c>
      <c r="J28" s="193">
        <f t="shared" si="10"/>
        <v>20</v>
      </c>
      <c r="K28" s="193"/>
      <c r="L28" s="193"/>
      <c r="M28" s="193"/>
    </row>
    <row r="29" spans="1:13" ht="36">
      <c r="A29" s="191" t="s">
        <v>465</v>
      </c>
      <c r="B29" s="196" t="s">
        <v>466</v>
      </c>
      <c r="C29" s="101" t="s">
        <v>134</v>
      </c>
      <c r="D29" s="193">
        <v>9407.9</v>
      </c>
      <c r="E29" s="193">
        <v>10537</v>
      </c>
      <c r="F29" s="193">
        <v>10537</v>
      </c>
      <c r="H29" s="193">
        <f t="shared" si="8"/>
        <v>9407.9</v>
      </c>
      <c r="I29" s="193">
        <f t="shared" si="9"/>
        <v>10537</v>
      </c>
      <c r="J29" s="193">
        <f t="shared" si="10"/>
        <v>10537</v>
      </c>
      <c r="K29" s="193"/>
      <c r="L29" s="193"/>
      <c r="M29" s="193"/>
    </row>
    <row r="30" spans="1:13" ht="36">
      <c r="A30" s="191" t="s">
        <v>467</v>
      </c>
      <c r="B30" s="195" t="s">
        <v>468</v>
      </c>
      <c r="C30" s="195" t="s">
        <v>134</v>
      </c>
      <c r="D30" s="193">
        <v>1989.4</v>
      </c>
      <c r="E30" s="193">
        <v>1989.4</v>
      </c>
      <c r="F30" s="193">
        <v>1989.4</v>
      </c>
      <c r="H30" s="193">
        <f t="shared" si="8"/>
        <v>1989.4</v>
      </c>
      <c r="I30" s="193">
        <f t="shared" si="9"/>
        <v>1989.4</v>
      </c>
      <c r="J30" s="193">
        <f t="shared" si="10"/>
        <v>1989.4</v>
      </c>
      <c r="K30" s="193"/>
      <c r="L30" s="193"/>
      <c r="M30" s="193"/>
    </row>
    <row r="31" spans="1:13" ht="39" customHeight="1">
      <c r="A31" s="191" t="s">
        <v>469</v>
      </c>
      <c r="B31" s="105" t="s">
        <v>470</v>
      </c>
      <c r="C31" s="101" t="s">
        <v>134</v>
      </c>
      <c r="D31" s="193">
        <v>170</v>
      </c>
      <c r="E31" s="193">
        <v>170</v>
      </c>
      <c r="F31" s="193">
        <v>170</v>
      </c>
      <c r="H31" s="193">
        <f t="shared" si="8"/>
        <v>170</v>
      </c>
      <c r="I31" s="193">
        <f t="shared" si="9"/>
        <v>170</v>
      </c>
      <c r="J31" s="193">
        <f t="shared" si="10"/>
        <v>170</v>
      </c>
      <c r="K31" s="193"/>
      <c r="L31" s="193"/>
      <c r="M31" s="193"/>
    </row>
    <row r="32" spans="1:13" ht="28.5" customHeight="1">
      <c r="A32" s="191" t="s">
        <v>471</v>
      </c>
      <c r="B32" s="195" t="s">
        <v>472</v>
      </c>
      <c r="C32" s="195" t="s">
        <v>134</v>
      </c>
      <c r="D32" s="193">
        <v>88</v>
      </c>
      <c r="E32" s="193">
        <v>88</v>
      </c>
      <c r="F32" s="193">
        <v>88</v>
      </c>
      <c r="H32" s="193"/>
      <c r="I32" s="193"/>
      <c r="J32" s="193"/>
      <c r="K32" s="193">
        <f aca="true" t="shared" si="11" ref="K32:M35">D32</f>
        <v>88</v>
      </c>
      <c r="L32" s="193">
        <f t="shared" si="11"/>
        <v>88</v>
      </c>
      <c r="M32" s="193">
        <f t="shared" si="11"/>
        <v>88</v>
      </c>
    </row>
    <row r="33" spans="1:13" ht="29.25" customHeight="1">
      <c r="A33" s="191" t="s">
        <v>473</v>
      </c>
      <c r="B33" s="195" t="s">
        <v>474</v>
      </c>
      <c r="C33" s="195" t="s">
        <v>134</v>
      </c>
      <c r="D33" s="193">
        <v>57203.3</v>
      </c>
      <c r="E33" s="193">
        <v>60062.2</v>
      </c>
      <c r="F33" s="193">
        <v>63067.8</v>
      </c>
      <c r="H33" s="193"/>
      <c r="I33" s="193"/>
      <c r="J33" s="193"/>
      <c r="K33" s="193">
        <f t="shared" si="11"/>
        <v>57203.3</v>
      </c>
      <c r="L33" s="193">
        <f t="shared" si="11"/>
        <v>60062.2</v>
      </c>
      <c r="M33" s="193">
        <f t="shared" si="11"/>
        <v>63067.8</v>
      </c>
    </row>
    <row r="34" spans="1:13" ht="36">
      <c r="A34" s="191" t="s">
        <v>475</v>
      </c>
      <c r="B34" s="195" t="s">
        <v>476</v>
      </c>
      <c r="C34" s="195" t="s">
        <v>134</v>
      </c>
      <c r="D34" s="193">
        <v>72.6</v>
      </c>
      <c r="E34" s="193">
        <v>72.6</v>
      </c>
      <c r="F34" s="193">
        <v>72.6</v>
      </c>
      <c r="H34" s="193"/>
      <c r="I34" s="193"/>
      <c r="J34" s="193"/>
      <c r="K34" s="193">
        <f t="shared" si="11"/>
        <v>72.6</v>
      </c>
      <c r="L34" s="193">
        <f t="shared" si="11"/>
        <v>72.6</v>
      </c>
      <c r="M34" s="193">
        <f t="shared" si="11"/>
        <v>72.6</v>
      </c>
    </row>
    <row r="35" spans="1:13" ht="51.75" customHeight="1">
      <c r="A35" s="191" t="s">
        <v>477</v>
      </c>
      <c r="B35" s="195" t="s">
        <v>478</v>
      </c>
      <c r="C35" s="195" t="s">
        <v>134</v>
      </c>
      <c r="D35" s="193">
        <v>38730.4</v>
      </c>
      <c r="E35" s="193">
        <v>38730.4</v>
      </c>
      <c r="F35" s="193">
        <v>40645.6</v>
      </c>
      <c r="H35" s="193"/>
      <c r="I35" s="193"/>
      <c r="J35" s="193"/>
      <c r="K35" s="193">
        <f t="shared" si="11"/>
        <v>38730.4</v>
      </c>
      <c r="L35" s="193">
        <f t="shared" si="11"/>
        <v>38730.4</v>
      </c>
      <c r="M35" s="193">
        <f t="shared" si="11"/>
        <v>40645.6</v>
      </c>
    </row>
    <row r="36" spans="1:13" ht="30" customHeight="1">
      <c r="A36" s="191" t="s">
        <v>479</v>
      </c>
      <c r="B36" s="88" t="s">
        <v>480</v>
      </c>
      <c r="C36" s="101" t="s">
        <v>134</v>
      </c>
      <c r="D36" s="193">
        <v>893.2</v>
      </c>
      <c r="E36" s="193">
        <v>893.2</v>
      </c>
      <c r="F36" s="193">
        <v>893.2</v>
      </c>
      <c r="H36" s="193">
        <f aca="true" t="shared" si="12" ref="H36:J40">D36</f>
        <v>893.2</v>
      </c>
      <c r="I36" s="193">
        <f t="shared" si="12"/>
        <v>893.2</v>
      </c>
      <c r="J36" s="193">
        <f t="shared" si="12"/>
        <v>893.2</v>
      </c>
      <c r="K36" s="193"/>
      <c r="L36" s="193"/>
      <c r="M36" s="193"/>
    </row>
    <row r="37" spans="1:13" ht="50.25" customHeight="1">
      <c r="A37" s="191" t="s">
        <v>481</v>
      </c>
      <c r="B37" s="197" t="s">
        <v>482</v>
      </c>
      <c r="C37" s="101" t="s">
        <v>440</v>
      </c>
      <c r="D37" s="198">
        <v>208720.6</v>
      </c>
      <c r="E37" s="198">
        <v>165840</v>
      </c>
      <c r="F37" s="198">
        <v>165840</v>
      </c>
      <c r="H37" s="193">
        <f t="shared" si="12"/>
        <v>208720.6</v>
      </c>
      <c r="I37" s="193">
        <f t="shared" si="12"/>
        <v>165840</v>
      </c>
      <c r="J37" s="193">
        <f t="shared" si="12"/>
        <v>165840</v>
      </c>
      <c r="K37" s="193"/>
      <c r="L37" s="193"/>
      <c r="M37" s="193"/>
    </row>
    <row r="38" spans="1:13" ht="24.75">
      <c r="A38" s="191" t="s">
        <v>483</v>
      </c>
      <c r="B38" s="88" t="s">
        <v>484</v>
      </c>
      <c r="C38" s="101" t="s">
        <v>134</v>
      </c>
      <c r="D38" s="193">
        <v>362066.4</v>
      </c>
      <c r="E38" s="193">
        <v>385231.8</v>
      </c>
      <c r="F38" s="193">
        <v>408050.2</v>
      </c>
      <c r="H38" s="193">
        <f t="shared" si="12"/>
        <v>362066.4</v>
      </c>
      <c r="I38" s="193">
        <f t="shared" si="12"/>
        <v>385231.8</v>
      </c>
      <c r="J38" s="193">
        <f t="shared" si="12"/>
        <v>408050.2</v>
      </c>
      <c r="K38" s="193"/>
      <c r="L38" s="193"/>
      <c r="M38" s="193"/>
    </row>
    <row r="39" spans="1:13" ht="55.5" customHeight="1">
      <c r="A39" s="191" t="s">
        <v>485</v>
      </c>
      <c r="B39" s="105" t="s">
        <v>486</v>
      </c>
      <c r="C39" s="101" t="s">
        <v>134</v>
      </c>
      <c r="D39" s="193">
        <v>19909.1</v>
      </c>
      <c r="E39" s="193">
        <v>20866.1</v>
      </c>
      <c r="F39" s="193">
        <v>21946.6</v>
      </c>
      <c r="H39" s="193">
        <f t="shared" si="12"/>
        <v>19909.1</v>
      </c>
      <c r="I39" s="193">
        <f t="shared" si="12"/>
        <v>20866.1</v>
      </c>
      <c r="J39" s="193">
        <f t="shared" si="12"/>
        <v>21946.6</v>
      </c>
      <c r="K39" s="193"/>
      <c r="L39" s="193"/>
      <c r="M39" s="193"/>
    </row>
    <row r="40" spans="1:13" ht="54" customHeight="1">
      <c r="A40" s="191" t="s">
        <v>487</v>
      </c>
      <c r="B40" s="88" t="s">
        <v>488</v>
      </c>
      <c r="C40" s="87" t="s">
        <v>134</v>
      </c>
      <c r="D40" s="193">
        <v>2154.4</v>
      </c>
      <c r="E40" s="193">
        <v>1743.8</v>
      </c>
      <c r="F40" s="193">
        <v>1744.8</v>
      </c>
      <c r="H40" s="193">
        <f t="shared" si="12"/>
        <v>2154.4</v>
      </c>
      <c r="I40" s="193">
        <f t="shared" si="12"/>
        <v>1743.8</v>
      </c>
      <c r="J40" s="193">
        <f t="shared" si="12"/>
        <v>1744.8</v>
      </c>
      <c r="K40" s="193"/>
      <c r="L40" s="193"/>
      <c r="M40" s="193"/>
    </row>
    <row r="41" spans="1:13" ht="28.5" customHeight="1">
      <c r="A41" s="191" t="s">
        <v>489</v>
      </c>
      <c r="B41" s="195" t="s">
        <v>490</v>
      </c>
      <c r="C41" s="194" t="s">
        <v>134</v>
      </c>
      <c r="D41" s="193">
        <v>8977.7</v>
      </c>
      <c r="E41" s="193">
        <v>9029.8</v>
      </c>
      <c r="F41" s="193">
        <v>9576.2</v>
      </c>
      <c r="H41" s="193"/>
      <c r="I41" s="193"/>
      <c r="J41" s="193"/>
      <c r="K41" s="193">
        <f>D41</f>
        <v>8977.7</v>
      </c>
      <c r="L41" s="193">
        <f>E41</f>
        <v>9029.8</v>
      </c>
      <c r="M41" s="193">
        <f>F41</f>
        <v>9576.2</v>
      </c>
    </row>
    <row r="42" spans="1:13" ht="39.75" customHeight="1">
      <c r="A42" s="191" t="s">
        <v>491</v>
      </c>
      <c r="B42" s="195" t="s">
        <v>492</v>
      </c>
      <c r="C42" s="194" t="s">
        <v>134</v>
      </c>
      <c r="D42" s="193">
        <v>479</v>
      </c>
      <c r="E42" s="193">
        <v>479</v>
      </c>
      <c r="F42" s="193">
        <v>479</v>
      </c>
      <c r="H42" s="193">
        <f>D42</f>
        <v>479</v>
      </c>
      <c r="I42" s="193">
        <f>E42</f>
        <v>479</v>
      </c>
      <c r="J42" s="193">
        <f>F42</f>
        <v>479</v>
      </c>
      <c r="K42" s="193"/>
      <c r="L42" s="193"/>
      <c r="M42" s="193"/>
    </row>
    <row r="43" spans="1:13" ht="36">
      <c r="A43" s="191" t="s">
        <v>493</v>
      </c>
      <c r="B43" s="88" t="s">
        <v>494</v>
      </c>
      <c r="C43" s="87" t="s">
        <v>134</v>
      </c>
      <c r="D43" s="193">
        <v>104.451</v>
      </c>
      <c r="E43" s="193">
        <v>0</v>
      </c>
      <c r="F43" s="193">
        <v>0</v>
      </c>
      <c r="H43" s="193"/>
      <c r="I43" s="193"/>
      <c r="J43" s="193"/>
      <c r="K43" s="193">
        <f>D43</f>
        <v>104.451</v>
      </c>
      <c r="L43" s="193">
        <f>E43</f>
        <v>0</v>
      </c>
      <c r="M43" s="193">
        <f>F43</f>
        <v>0</v>
      </c>
    </row>
    <row r="44" spans="1:13" ht="28.5" customHeight="1">
      <c r="A44" s="199" t="s">
        <v>495</v>
      </c>
      <c r="B44" s="199"/>
      <c r="C44" s="199"/>
      <c r="D44" s="199"/>
      <c r="E44" s="199"/>
      <c r="F44" s="199"/>
      <c r="H44" s="193"/>
      <c r="I44" s="193"/>
      <c r="J44" s="193"/>
      <c r="K44" s="193"/>
      <c r="L44" s="193"/>
      <c r="M44" s="193"/>
    </row>
    <row r="45" spans="1:13" ht="52.5" customHeight="1">
      <c r="A45" s="191" t="s">
        <v>496</v>
      </c>
      <c r="B45" s="105" t="s">
        <v>497</v>
      </c>
      <c r="C45" s="87" t="s">
        <v>134</v>
      </c>
      <c r="D45" s="193">
        <v>47126.6</v>
      </c>
      <c r="E45" s="193">
        <v>47138.6</v>
      </c>
      <c r="F45" s="193">
        <v>47152.3</v>
      </c>
      <c r="H45" s="193"/>
      <c r="I45" s="193"/>
      <c r="J45" s="193"/>
      <c r="K45" s="193">
        <f>D45</f>
        <v>47126.6</v>
      </c>
      <c r="L45" s="193">
        <f>E45</f>
        <v>47138.6</v>
      </c>
      <c r="M45" s="193">
        <f>F45</f>
        <v>47152.3</v>
      </c>
    </row>
    <row r="46" spans="1:13" ht="53.25" customHeight="1">
      <c r="A46" s="191" t="s">
        <v>498</v>
      </c>
      <c r="B46" s="88" t="s">
        <v>499</v>
      </c>
      <c r="C46" s="87" t="s">
        <v>500</v>
      </c>
      <c r="D46" s="193">
        <f>90000+52455.5+103662.1</f>
        <v>246117.6</v>
      </c>
      <c r="E46" s="193">
        <f>100000+49832.7</f>
        <v>149832.7</v>
      </c>
      <c r="F46" s="193">
        <f>100000+47210</f>
        <v>147210</v>
      </c>
      <c r="H46" s="193">
        <f>D46-D47</f>
        <v>193662.1</v>
      </c>
      <c r="I46" s="193">
        <f>E46-E47</f>
        <v>100000.00000000001</v>
      </c>
      <c r="J46" s="193">
        <f>F46-F47</f>
        <v>100000</v>
      </c>
      <c r="K46" s="193"/>
      <c r="L46" s="193"/>
      <c r="M46" s="193"/>
    </row>
    <row r="47" spans="1:13" ht="66.75" customHeight="1">
      <c r="A47" s="191"/>
      <c r="B47" s="88"/>
      <c r="C47" s="87"/>
      <c r="D47" s="193">
        <v>52455.5</v>
      </c>
      <c r="E47" s="193">
        <v>49832.7</v>
      </c>
      <c r="F47" s="193">
        <v>47210</v>
      </c>
      <c r="H47" s="193"/>
      <c r="I47" s="193"/>
      <c r="J47" s="193"/>
      <c r="K47" s="193">
        <f>D47</f>
        <v>52455.5</v>
      </c>
      <c r="L47" s="193">
        <f>E47</f>
        <v>49832.7</v>
      </c>
      <c r="M47" s="193">
        <f>F47</f>
        <v>47210</v>
      </c>
    </row>
    <row r="48" spans="1:13" ht="52.5" customHeight="1">
      <c r="A48" s="200" t="s">
        <v>501</v>
      </c>
      <c r="B48" s="88" t="s">
        <v>502</v>
      </c>
      <c r="C48" s="87" t="s">
        <v>134</v>
      </c>
      <c r="D48" s="193">
        <f>10000+26000</f>
        <v>36000</v>
      </c>
      <c r="E48" s="193">
        <v>0</v>
      </c>
      <c r="F48" s="193">
        <v>0</v>
      </c>
      <c r="H48" s="193">
        <f>D48</f>
        <v>36000</v>
      </c>
      <c r="I48" s="193">
        <f>E48</f>
        <v>0</v>
      </c>
      <c r="J48" s="193">
        <f>F48</f>
        <v>0</v>
      </c>
      <c r="K48" s="193"/>
      <c r="L48" s="193"/>
      <c r="M48" s="193"/>
    </row>
    <row r="49" spans="1:13" ht="66" customHeight="1">
      <c r="A49" s="191" t="s">
        <v>503</v>
      </c>
      <c r="B49" s="88" t="s">
        <v>504</v>
      </c>
      <c r="C49" s="87" t="s">
        <v>134</v>
      </c>
      <c r="D49" s="193">
        <f>78624-1336.8+2872.901</f>
        <v>80160.101</v>
      </c>
      <c r="E49" s="193">
        <v>0</v>
      </c>
      <c r="F49" s="193">
        <v>0</v>
      </c>
      <c r="H49" s="193"/>
      <c r="I49" s="193"/>
      <c r="J49" s="193"/>
      <c r="K49" s="193">
        <f>D49</f>
        <v>80160.101</v>
      </c>
      <c r="L49" s="193">
        <f>E49</f>
        <v>0</v>
      </c>
      <c r="M49" s="193">
        <f>F49</f>
        <v>0</v>
      </c>
    </row>
    <row r="50" spans="1:13" ht="23.25" customHeight="1">
      <c r="A50" s="199" t="s">
        <v>505</v>
      </c>
      <c r="B50" s="199"/>
      <c r="C50" s="199"/>
      <c r="D50" s="199"/>
      <c r="E50" s="199"/>
      <c r="F50" s="199"/>
      <c r="H50" s="193"/>
      <c r="I50" s="193"/>
      <c r="J50" s="193"/>
      <c r="K50" s="193"/>
      <c r="L50" s="193"/>
      <c r="M50" s="193"/>
    </row>
    <row r="51" spans="1:13" ht="27" customHeight="1">
      <c r="A51" s="191" t="s">
        <v>506</v>
      </c>
      <c r="B51" s="88" t="s">
        <v>507</v>
      </c>
      <c r="C51" s="87" t="s">
        <v>134</v>
      </c>
      <c r="D51" s="193">
        <f>31398-50</f>
        <v>31348</v>
      </c>
      <c r="E51" s="193">
        <v>33568.6</v>
      </c>
      <c r="F51" s="193">
        <v>34948.5</v>
      </c>
      <c r="H51" s="193">
        <f aca="true" t="shared" si="13" ref="H51:J52">D51</f>
        <v>31348</v>
      </c>
      <c r="I51" s="193">
        <f t="shared" si="13"/>
        <v>33568.6</v>
      </c>
      <c r="J51" s="193">
        <f t="shared" si="13"/>
        <v>34948.5</v>
      </c>
      <c r="K51" s="193"/>
      <c r="L51" s="193"/>
      <c r="M51" s="193"/>
    </row>
    <row r="52" spans="1:13" ht="150" customHeight="1">
      <c r="A52" s="191" t="s">
        <v>508</v>
      </c>
      <c r="B52" s="105" t="s">
        <v>509</v>
      </c>
      <c r="C52" s="87" t="s">
        <v>134</v>
      </c>
      <c r="D52" s="193">
        <v>52756.7</v>
      </c>
      <c r="E52" s="193">
        <v>62589.8</v>
      </c>
      <c r="F52" s="193">
        <v>68292.1</v>
      </c>
      <c r="H52" s="193">
        <f t="shared" si="13"/>
        <v>52756.7</v>
      </c>
      <c r="I52" s="193">
        <f t="shared" si="13"/>
        <v>62589.8</v>
      </c>
      <c r="J52" s="193">
        <f t="shared" si="13"/>
        <v>68292.1</v>
      </c>
      <c r="K52" s="193"/>
      <c r="L52" s="193"/>
      <c r="M52" s="193"/>
    </row>
    <row r="53" spans="1:13" ht="26.25" customHeight="1">
      <c r="A53" s="201" t="s">
        <v>510</v>
      </c>
      <c r="B53" s="88" t="s">
        <v>511</v>
      </c>
      <c r="C53" s="87" t="s">
        <v>500</v>
      </c>
      <c r="D53" s="202">
        <f>199842.4+6788</f>
        <v>206630.4</v>
      </c>
      <c r="E53" s="202">
        <v>268123</v>
      </c>
      <c r="F53" s="202">
        <v>303267</v>
      </c>
      <c r="H53" s="193">
        <f>D53-D54</f>
        <v>199842.4</v>
      </c>
      <c r="I53" s="193">
        <f>E53-E54</f>
        <v>268123</v>
      </c>
      <c r="J53" s="193">
        <f>F53-F54</f>
        <v>303267</v>
      </c>
      <c r="K53" s="193"/>
      <c r="L53" s="193"/>
      <c r="M53" s="193"/>
    </row>
    <row r="54" spans="1:13" ht="12.75">
      <c r="A54" s="201"/>
      <c r="B54" s="88"/>
      <c r="C54" s="87"/>
      <c r="D54" s="202">
        <v>6788</v>
      </c>
      <c r="E54" s="202">
        <v>0</v>
      </c>
      <c r="F54" s="202">
        <v>0</v>
      </c>
      <c r="H54" s="193"/>
      <c r="I54" s="193"/>
      <c r="J54" s="193"/>
      <c r="K54" s="193">
        <f>D54</f>
        <v>6788</v>
      </c>
      <c r="L54" s="193">
        <f>E54</f>
        <v>0</v>
      </c>
      <c r="M54" s="193">
        <f>F54</f>
        <v>0</v>
      </c>
    </row>
    <row r="55" spans="1:13" ht="26.25" customHeight="1">
      <c r="A55" s="201" t="s">
        <v>512</v>
      </c>
      <c r="B55" s="88" t="s">
        <v>513</v>
      </c>
      <c r="C55" s="87" t="s">
        <v>134</v>
      </c>
      <c r="D55" s="193">
        <v>627782.5</v>
      </c>
      <c r="E55" s="193">
        <v>999210.7</v>
      </c>
      <c r="F55" s="193">
        <v>1099179.7</v>
      </c>
      <c r="H55" s="193">
        <f>D55</f>
        <v>627782.5</v>
      </c>
      <c r="I55" s="193">
        <f>E55</f>
        <v>999210.7</v>
      </c>
      <c r="J55" s="193">
        <f>F55</f>
        <v>1099179.7</v>
      </c>
      <c r="K55" s="193"/>
      <c r="L55" s="193"/>
      <c r="M55" s="193"/>
    </row>
    <row r="56" spans="1:13" ht="25.5" customHeight="1">
      <c r="A56" s="201" t="s">
        <v>514</v>
      </c>
      <c r="B56" s="105" t="s">
        <v>515</v>
      </c>
      <c r="C56" s="87" t="s">
        <v>500</v>
      </c>
      <c r="D56" s="202">
        <f>284059.9+94686.6</f>
        <v>378746.5</v>
      </c>
      <c r="E56" s="202">
        <v>396773.9</v>
      </c>
      <c r="F56" s="202">
        <v>415892.8</v>
      </c>
      <c r="H56" s="193">
        <f>D56-D57</f>
        <v>94686.59999999998</v>
      </c>
      <c r="I56" s="193">
        <f>E56-E57</f>
        <v>99193.60000000003</v>
      </c>
      <c r="J56" s="193">
        <f>F56-F57</f>
        <v>103973.20000000001</v>
      </c>
      <c r="K56" s="193"/>
      <c r="L56" s="193"/>
      <c r="M56" s="193"/>
    </row>
    <row r="57" spans="1:13" ht="17.25" customHeight="1">
      <c r="A57" s="201"/>
      <c r="B57" s="105"/>
      <c r="C57" s="87"/>
      <c r="D57" s="202">
        <f>284059.9</f>
        <v>284059.9</v>
      </c>
      <c r="E57" s="202">
        <v>297580.3</v>
      </c>
      <c r="F57" s="202">
        <v>311919.6</v>
      </c>
      <c r="H57" s="193"/>
      <c r="I57" s="193"/>
      <c r="J57" s="193"/>
      <c r="K57" s="193">
        <f>D57</f>
        <v>284059.9</v>
      </c>
      <c r="L57" s="193">
        <f>E57</f>
        <v>297580.3</v>
      </c>
      <c r="M57" s="193">
        <f>F57</f>
        <v>311919.6</v>
      </c>
    </row>
    <row r="58" spans="1:13" s="204" customFormat="1" ht="31.5" customHeight="1">
      <c r="A58" s="201" t="s">
        <v>516</v>
      </c>
      <c r="B58" s="105" t="s">
        <v>517</v>
      </c>
      <c r="C58" s="87" t="s">
        <v>134</v>
      </c>
      <c r="D58" s="193">
        <v>50</v>
      </c>
      <c r="E58" s="193">
        <v>0</v>
      </c>
      <c r="F58" s="193">
        <v>0</v>
      </c>
      <c r="G58" s="203"/>
      <c r="H58" s="193">
        <f>D58</f>
        <v>50</v>
      </c>
      <c r="I58" s="193">
        <f>E58</f>
        <v>0</v>
      </c>
      <c r="J58" s="193">
        <f>F58</f>
        <v>0</v>
      </c>
      <c r="K58" s="193"/>
      <c r="L58" s="193"/>
      <c r="M58" s="193"/>
    </row>
    <row r="59" spans="1:13" s="204" customFormat="1" ht="38.25" customHeight="1">
      <c r="A59" s="201" t="s">
        <v>518</v>
      </c>
      <c r="B59" s="88" t="s">
        <v>519</v>
      </c>
      <c r="C59" s="87" t="s">
        <v>134</v>
      </c>
      <c r="D59" s="193">
        <v>436.5</v>
      </c>
      <c r="E59" s="193">
        <v>0</v>
      </c>
      <c r="F59" s="193">
        <v>0</v>
      </c>
      <c r="G59" s="203"/>
      <c r="H59" s="193"/>
      <c r="I59" s="193"/>
      <c r="J59" s="193"/>
      <c r="K59" s="193">
        <f>D59</f>
        <v>436.5</v>
      </c>
      <c r="L59" s="193">
        <f>E59</f>
        <v>0</v>
      </c>
      <c r="M59" s="193">
        <f>F59</f>
        <v>0</v>
      </c>
    </row>
    <row r="60" spans="1:13" s="204" customFormat="1" ht="22.5" customHeight="1">
      <c r="A60" s="199" t="s">
        <v>41</v>
      </c>
      <c r="B60" s="199"/>
      <c r="C60" s="199"/>
      <c r="D60" s="199"/>
      <c r="E60" s="199"/>
      <c r="F60" s="199"/>
      <c r="G60" s="203"/>
      <c r="H60" s="193"/>
      <c r="I60" s="193"/>
      <c r="J60" s="193"/>
      <c r="K60" s="193"/>
      <c r="L60" s="193"/>
      <c r="M60" s="193"/>
    </row>
    <row r="61" spans="1:13" ht="27" customHeight="1">
      <c r="A61" s="201" t="s">
        <v>520</v>
      </c>
      <c r="B61" s="77" t="s">
        <v>521</v>
      </c>
      <c r="C61" s="92" t="s">
        <v>134</v>
      </c>
      <c r="D61" s="193" t="s">
        <v>415</v>
      </c>
      <c r="E61" s="193" t="s">
        <v>415</v>
      </c>
      <c r="F61" s="193" t="s">
        <v>415</v>
      </c>
      <c r="H61" s="193"/>
      <c r="I61" s="193"/>
      <c r="J61" s="193"/>
      <c r="K61" s="193"/>
      <c r="L61" s="193"/>
      <c r="M61" s="193"/>
    </row>
    <row r="62" spans="1:13" ht="24.75">
      <c r="A62" s="201" t="s">
        <v>522</v>
      </c>
      <c r="B62" s="77" t="s">
        <v>523</v>
      </c>
      <c r="C62" s="77" t="s">
        <v>134</v>
      </c>
      <c r="D62" s="193" t="s">
        <v>415</v>
      </c>
      <c r="E62" s="193" t="s">
        <v>415</v>
      </c>
      <c r="F62" s="193" t="s">
        <v>415</v>
      </c>
      <c r="H62" s="193"/>
      <c r="I62" s="193"/>
      <c r="J62" s="193"/>
      <c r="K62" s="193"/>
      <c r="L62" s="193"/>
      <c r="M62" s="193"/>
    </row>
    <row r="63" spans="1:13" ht="38.25" customHeight="1">
      <c r="A63" s="201" t="s">
        <v>524</v>
      </c>
      <c r="B63" s="77" t="s">
        <v>525</v>
      </c>
      <c r="C63" s="77" t="s">
        <v>134</v>
      </c>
      <c r="D63" s="193" t="s">
        <v>415</v>
      </c>
      <c r="E63" s="193" t="s">
        <v>415</v>
      </c>
      <c r="F63" s="193" t="s">
        <v>415</v>
      </c>
      <c r="H63" s="193"/>
      <c r="I63" s="193"/>
      <c r="J63" s="193"/>
      <c r="K63" s="193"/>
      <c r="L63" s="193"/>
      <c r="M63" s="193"/>
    </row>
    <row r="64" spans="1:13" ht="40.5" customHeight="1">
      <c r="A64" s="201" t="s">
        <v>526</v>
      </c>
      <c r="B64" s="77" t="s">
        <v>527</v>
      </c>
      <c r="C64" s="77" t="s">
        <v>134</v>
      </c>
      <c r="D64" s="193" t="s">
        <v>415</v>
      </c>
      <c r="E64" s="193" t="s">
        <v>415</v>
      </c>
      <c r="F64" s="193" t="s">
        <v>415</v>
      </c>
      <c r="H64" s="193"/>
      <c r="I64" s="193"/>
      <c r="J64" s="193"/>
      <c r="K64" s="193"/>
      <c r="L64" s="193"/>
      <c r="M64" s="193"/>
    </row>
    <row r="65" spans="1:13" ht="26.25" customHeight="1">
      <c r="A65" s="205" t="s">
        <v>528</v>
      </c>
      <c r="B65" s="206" t="s">
        <v>529</v>
      </c>
      <c r="C65" s="207" t="s">
        <v>134</v>
      </c>
      <c r="D65" s="171">
        <f>D72+D73+D75+D77+D79+D81+D84+D85+D87</f>
        <v>2480761.2830800004</v>
      </c>
      <c r="E65" s="171">
        <f>E72+E73+E75+E77+E79+E81+E84+E85+E87</f>
        <v>2287387.1999999997</v>
      </c>
      <c r="F65" s="171">
        <f>F72+F73+F75+F77+F79+F81+F84+F85+F87</f>
        <v>2312276.6</v>
      </c>
      <c r="G65" s="187"/>
      <c r="H65" s="171">
        <f>H72+H73+H75+H77+H79+H81+H84+H85+H87</f>
        <v>2476915.18308</v>
      </c>
      <c r="I65" s="171">
        <f>I72+I73+I75+I77+I79+I81+I84+I85+I87</f>
        <v>2286972.6999999997</v>
      </c>
      <c r="J65" s="171">
        <f>J72+J73+J75+J77+J79+J81+J84+J85+J87</f>
        <v>2311841.3</v>
      </c>
      <c r="K65" s="171">
        <f>K73+K78+K85</f>
        <v>3846.1000000000004</v>
      </c>
      <c r="L65" s="171">
        <f>L73+L78+L85</f>
        <v>414.5</v>
      </c>
      <c r="M65" s="171">
        <f>M73+M78+M85</f>
        <v>435.3</v>
      </c>
    </row>
    <row r="66" spans="1:13" ht="39">
      <c r="A66" s="205"/>
      <c r="B66" s="206"/>
      <c r="C66" s="207" t="s">
        <v>254</v>
      </c>
      <c r="D66" s="186">
        <f>D68</f>
        <v>10492</v>
      </c>
      <c r="E66" s="186">
        <f>E68</f>
        <v>0</v>
      </c>
      <c r="F66" s="186">
        <f>F68</f>
        <v>0</v>
      </c>
      <c r="H66" s="186">
        <f aca="true" t="shared" si="14" ref="H66:M66">H68</f>
        <v>10492</v>
      </c>
      <c r="I66" s="186">
        <f t="shared" si="14"/>
        <v>0</v>
      </c>
      <c r="J66" s="186">
        <f t="shared" si="14"/>
        <v>0</v>
      </c>
      <c r="K66" s="186">
        <f t="shared" si="14"/>
        <v>0</v>
      </c>
      <c r="L66" s="186">
        <f t="shared" si="14"/>
        <v>0</v>
      </c>
      <c r="M66" s="186">
        <f t="shared" si="14"/>
        <v>0</v>
      </c>
    </row>
    <row r="67" spans="1:13" ht="12.75" customHeight="1">
      <c r="A67" s="208" t="s">
        <v>52</v>
      </c>
      <c r="B67" s="208"/>
      <c r="C67" s="208"/>
      <c r="D67" s="208"/>
      <c r="E67" s="208"/>
      <c r="F67" s="208"/>
      <c r="H67" s="186"/>
      <c r="I67" s="186"/>
      <c r="J67" s="186"/>
      <c r="K67" s="186"/>
      <c r="L67" s="186"/>
      <c r="M67" s="186"/>
    </row>
    <row r="68" spans="1:13" ht="24.75">
      <c r="A68" s="191" t="s">
        <v>530</v>
      </c>
      <c r="B68" s="194" t="s">
        <v>531</v>
      </c>
      <c r="C68" s="195" t="s">
        <v>254</v>
      </c>
      <c r="D68" s="193">
        <f>220296-209804</f>
        <v>10492</v>
      </c>
      <c r="E68" s="193">
        <v>0</v>
      </c>
      <c r="F68" s="193">
        <v>0</v>
      </c>
      <c r="H68" s="193">
        <f>D68</f>
        <v>10492</v>
      </c>
      <c r="I68" s="193">
        <f>E68</f>
        <v>0</v>
      </c>
      <c r="J68" s="193">
        <f>F68</f>
        <v>0</v>
      </c>
      <c r="K68" s="193"/>
      <c r="L68" s="193"/>
      <c r="M68" s="193"/>
    </row>
    <row r="69" spans="1:13" ht="24.75">
      <c r="A69" s="191" t="s">
        <v>532</v>
      </c>
      <c r="B69" s="195" t="s">
        <v>533</v>
      </c>
      <c r="C69" s="195" t="s">
        <v>134</v>
      </c>
      <c r="D69" s="193" t="s">
        <v>415</v>
      </c>
      <c r="E69" s="193" t="s">
        <v>415</v>
      </c>
      <c r="F69" s="193" t="s">
        <v>415</v>
      </c>
      <c r="H69" s="193"/>
      <c r="I69" s="193"/>
      <c r="J69" s="193"/>
      <c r="K69" s="193"/>
      <c r="L69" s="193"/>
      <c r="M69" s="193"/>
    </row>
    <row r="70" spans="1:13" ht="24.75">
      <c r="A70" s="191" t="s">
        <v>534</v>
      </c>
      <c r="B70" s="77" t="s">
        <v>535</v>
      </c>
      <c r="C70" s="77" t="s">
        <v>134</v>
      </c>
      <c r="D70" s="193" t="s">
        <v>415</v>
      </c>
      <c r="E70" s="193" t="s">
        <v>415</v>
      </c>
      <c r="F70" s="193" t="s">
        <v>415</v>
      </c>
      <c r="H70" s="193"/>
      <c r="I70" s="193"/>
      <c r="J70" s="193"/>
      <c r="K70" s="193"/>
      <c r="L70" s="193"/>
      <c r="M70" s="193"/>
    </row>
    <row r="71" spans="1:13" ht="12.75" customHeight="1">
      <c r="A71" s="199" t="s">
        <v>72</v>
      </c>
      <c r="B71" s="199"/>
      <c r="C71" s="199"/>
      <c r="D71" s="199"/>
      <c r="E71" s="199"/>
      <c r="F71" s="199"/>
      <c r="H71" s="193"/>
      <c r="I71" s="193"/>
      <c r="J71" s="193"/>
      <c r="K71" s="193"/>
      <c r="L71" s="193"/>
      <c r="M71" s="193"/>
    </row>
    <row r="72" spans="1:13" ht="24.75">
      <c r="A72" s="191" t="s">
        <v>536</v>
      </c>
      <c r="B72" s="88" t="s">
        <v>537</v>
      </c>
      <c r="C72" s="101" t="s">
        <v>134</v>
      </c>
      <c r="D72" s="193">
        <v>225073.53208</v>
      </c>
      <c r="E72" s="193">
        <v>156390.1</v>
      </c>
      <c r="F72" s="193">
        <v>122690.1</v>
      </c>
      <c r="H72" s="193">
        <f>D72</f>
        <v>225073.53208</v>
      </c>
      <c r="I72" s="193">
        <f>E72</f>
        <v>156390.1</v>
      </c>
      <c r="J72" s="193">
        <f>F72</f>
        <v>122690.1</v>
      </c>
      <c r="K72" s="193"/>
      <c r="L72" s="193"/>
      <c r="M72" s="193"/>
    </row>
    <row r="73" spans="1:13" ht="27" customHeight="1">
      <c r="A73" s="191" t="s">
        <v>538</v>
      </c>
      <c r="B73" s="77" t="s">
        <v>539</v>
      </c>
      <c r="C73" s="77" t="s">
        <v>134</v>
      </c>
      <c r="D73" s="193">
        <v>2353.9</v>
      </c>
      <c r="E73" s="193">
        <v>0</v>
      </c>
      <c r="F73" s="193">
        <v>0</v>
      </c>
      <c r="H73" s="193"/>
      <c r="I73" s="193"/>
      <c r="J73" s="193"/>
      <c r="K73" s="193">
        <f>D73</f>
        <v>2353.9</v>
      </c>
      <c r="L73" s="193">
        <f>E73</f>
        <v>0</v>
      </c>
      <c r="M73" s="193">
        <f>F73</f>
        <v>0</v>
      </c>
    </row>
    <row r="74" spans="1:13" ht="12.75" customHeight="1">
      <c r="A74" s="199" t="s">
        <v>81</v>
      </c>
      <c r="B74" s="199"/>
      <c r="C74" s="199"/>
      <c r="D74" s="199"/>
      <c r="E74" s="199"/>
      <c r="F74" s="199"/>
      <c r="H74" s="193"/>
      <c r="I74" s="193"/>
      <c r="J74" s="193"/>
      <c r="K74" s="193"/>
      <c r="L74" s="193"/>
      <c r="M74" s="193"/>
    </row>
    <row r="75" spans="1:13" ht="24.75">
      <c r="A75" s="191" t="s">
        <v>540</v>
      </c>
      <c r="B75" s="77" t="s">
        <v>541</v>
      </c>
      <c r="C75" s="77" t="s">
        <v>134</v>
      </c>
      <c r="D75" s="193">
        <v>2197598.751</v>
      </c>
      <c r="E75" s="193">
        <v>2073681.9</v>
      </c>
      <c r="F75" s="193">
        <v>2127532.9</v>
      </c>
      <c r="H75" s="193">
        <f>D75</f>
        <v>2197598.751</v>
      </c>
      <c r="I75" s="193">
        <f>E75</f>
        <v>2073681.9</v>
      </c>
      <c r="J75" s="193">
        <f>F75</f>
        <v>2127532.9</v>
      </c>
      <c r="K75" s="193"/>
      <c r="L75" s="193"/>
      <c r="M75" s="193"/>
    </row>
    <row r="76" spans="1:13" ht="24.75">
      <c r="A76" s="191" t="s">
        <v>542</v>
      </c>
      <c r="B76" s="77" t="s">
        <v>543</v>
      </c>
      <c r="C76" s="77" t="s">
        <v>134</v>
      </c>
      <c r="D76" s="193" t="s">
        <v>415</v>
      </c>
      <c r="E76" s="193" t="s">
        <v>415</v>
      </c>
      <c r="F76" s="193" t="s">
        <v>415</v>
      </c>
      <c r="H76" s="193"/>
      <c r="I76" s="193"/>
      <c r="J76" s="193"/>
      <c r="K76" s="193"/>
      <c r="L76" s="193"/>
      <c r="M76" s="193"/>
    </row>
    <row r="77" spans="1:13" ht="22.5" customHeight="1">
      <c r="A77" s="201" t="s">
        <v>544</v>
      </c>
      <c r="B77" s="195" t="s">
        <v>545</v>
      </c>
      <c r="C77" s="194" t="s">
        <v>500</v>
      </c>
      <c r="D77" s="202">
        <f>493.5+27.3</f>
        <v>520.8</v>
      </c>
      <c r="E77" s="202">
        <v>441.8</v>
      </c>
      <c r="F77" s="202">
        <v>462.6</v>
      </c>
      <c r="H77" s="193">
        <f>D77-D78</f>
        <v>27.299999999999955</v>
      </c>
      <c r="I77" s="193">
        <f>E77-E78</f>
        <v>27.30000000000001</v>
      </c>
      <c r="J77" s="193">
        <f>F77-F78</f>
        <v>27.30000000000001</v>
      </c>
      <c r="K77" s="193"/>
      <c r="L77" s="193"/>
      <c r="M77" s="193"/>
    </row>
    <row r="78" spans="1:13" ht="16.5" customHeight="1">
      <c r="A78" s="201"/>
      <c r="B78" s="195"/>
      <c r="C78" s="194"/>
      <c r="D78" s="202">
        <v>493.5</v>
      </c>
      <c r="E78" s="202">
        <v>414.5</v>
      </c>
      <c r="F78" s="202">
        <v>435.3</v>
      </c>
      <c r="H78" s="193"/>
      <c r="I78" s="193"/>
      <c r="J78" s="193"/>
      <c r="K78" s="193">
        <f>D78</f>
        <v>493.5</v>
      </c>
      <c r="L78" s="193">
        <f>E78</f>
        <v>414.5</v>
      </c>
      <c r="M78" s="193">
        <f>F78</f>
        <v>435.3</v>
      </c>
    </row>
    <row r="79" spans="1:13" ht="40.5" customHeight="1">
      <c r="A79" s="191" t="s">
        <v>546</v>
      </c>
      <c r="B79" s="88" t="s">
        <v>547</v>
      </c>
      <c r="C79" s="101" t="s">
        <v>134</v>
      </c>
      <c r="D79" s="193">
        <v>147.5</v>
      </c>
      <c r="E79" s="193">
        <v>147.5</v>
      </c>
      <c r="F79" s="193">
        <v>147.5</v>
      </c>
      <c r="H79" s="193">
        <f>D79</f>
        <v>147.5</v>
      </c>
      <c r="I79" s="193">
        <f>E79</f>
        <v>147.5</v>
      </c>
      <c r="J79" s="193">
        <f>F79</f>
        <v>147.5</v>
      </c>
      <c r="K79" s="193"/>
      <c r="L79" s="193"/>
      <c r="M79" s="193"/>
    </row>
    <row r="80" spans="1:13" ht="12.75" customHeight="1">
      <c r="A80" s="199" t="s">
        <v>305</v>
      </c>
      <c r="B80" s="199"/>
      <c r="C80" s="199"/>
      <c r="D80" s="199"/>
      <c r="E80" s="199"/>
      <c r="F80" s="199"/>
      <c r="H80" s="193"/>
      <c r="I80" s="193"/>
      <c r="J80" s="193"/>
      <c r="K80" s="193"/>
      <c r="L80" s="193"/>
      <c r="M80" s="193"/>
    </row>
    <row r="81" spans="1:13" ht="37.5" customHeight="1">
      <c r="A81" s="191" t="s">
        <v>548</v>
      </c>
      <c r="B81" s="77" t="s">
        <v>549</v>
      </c>
      <c r="C81" s="77" t="s">
        <v>134</v>
      </c>
      <c r="D81" s="198">
        <v>5424.1</v>
      </c>
      <c r="E81" s="193">
        <v>5590.9</v>
      </c>
      <c r="F81" s="193">
        <v>5881.2</v>
      </c>
      <c r="H81" s="193">
        <f>D81</f>
        <v>5424.1</v>
      </c>
      <c r="I81" s="193">
        <f>E81</f>
        <v>5590.9</v>
      </c>
      <c r="J81" s="193">
        <f>F81</f>
        <v>5881.2</v>
      </c>
      <c r="K81" s="193"/>
      <c r="L81" s="193"/>
      <c r="M81" s="193"/>
    </row>
    <row r="82" spans="1:13" ht="29.25" customHeight="1">
      <c r="A82" s="201" t="s">
        <v>550</v>
      </c>
      <c r="B82" s="77" t="s">
        <v>551</v>
      </c>
      <c r="C82" s="77" t="s">
        <v>134</v>
      </c>
      <c r="D82" s="209" t="s">
        <v>415</v>
      </c>
      <c r="E82" s="209" t="s">
        <v>415</v>
      </c>
      <c r="F82" s="209" t="s">
        <v>415</v>
      </c>
      <c r="G82" s="209"/>
      <c r="H82" s="193"/>
      <c r="I82" s="193"/>
      <c r="J82" s="193"/>
      <c r="K82" s="193"/>
      <c r="L82" s="193"/>
      <c r="M82" s="193"/>
    </row>
    <row r="83" spans="1:13" ht="27" customHeight="1">
      <c r="A83" s="201"/>
      <c r="B83" s="77"/>
      <c r="C83" s="77" t="s">
        <v>440</v>
      </c>
      <c r="D83" s="209" t="s">
        <v>415</v>
      </c>
      <c r="E83" s="209" t="s">
        <v>415</v>
      </c>
      <c r="F83" s="209" t="s">
        <v>415</v>
      </c>
      <c r="G83" s="209"/>
      <c r="H83" s="193"/>
      <c r="I83" s="193"/>
      <c r="J83" s="193"/>
      <c r="K83" s="193"/>
      <c r="L83" s="193"/>
      <c r="M83" s="193"/>
    </row>
    <row r="84" spans="1:13" ht="39.75" customHeight="1">
      <c r="A84" s="191" t="s">
        <v>552</v>
      </c>
      <c r="B84" s="88" t="s">
        <v>553</v>
      </c>
      <c r="C84" s="101" t="s">
        <v>134</v>
      </c>
      <c r="D84" s="193">
        <v>39858.5</v>
      </c>
      <c r="E84" s="193">
        <v>42349.5</v>
      </c>
      <c r="F84" s="193">
        <v>46776.8</v>
      </c>
      <c r="H84" s="193">
        <f>D84</f>
        <v>39858.5</v>
      </c>
      <c r="I84" s="193">
        <f>E84</f>
        <v>42349.5</v>
      </c>
      <c r="J84" s="193">
        <f>F84</f>
        <v>46776.8</v>
      </c>
      <c r="K84" s="193"/>
      <c r="L84" s="193"/>
      <c r="M84" s="193"/>
    </row>
    <row r="85" spans="1:13" ht="39.75" customHeight="1">
      <c r="A85" s="191" t="s">
        <v>554</v>
      </c>
      <c r="B85" s="77" t="s">
        <v>555</v>
      </c>
      <c r="C85" s="77" t="s">
        <v>134</v>
      </c>
      <c r="D85" s="193">
        <v>998.7</v>
      </c>
      <c r="E85" s="193">
        <v>0</v>
      </c>
      <c r="F85" s="193">
        <v>0</v>
      </c>
      <c r="H85" s="193"/>
      <c r="I85" s="193"/>
      <c r="J85" s="193"/>
      <c r="K85" s="193">
        <f>D85</f>
        <v>998.7</v>
      </c>
      <c r="L85" s="193">
        <f>E85</f>
        <v>0</v>
      </c>
      <c r="M85" s="193">
        <f>F85</f>
        <v>0</v>
      </c>
    </row>
    <row r="86" spans="1:13" ht="12.75" customHeight="1">
      <c r="A86" s="199" t="s">
        <v>556</v>
      </c>
      <c r="B86" s="199"/>
      <c r="C86" s="199"/>
      <c r="D86" s="199"/>
      <c r="E86" s="199"/>
      <c r="F86" s="199"/>
      <c r="H86" s="193"/>
      <c r="I86" s="193"/>
      <c r="J86" s="193"/>
      <c r="K86" s="193"/>
      <c r="L86" s="193"/>
      <c r="M86" s="193"/>
    </row>
    <row r="87" spans="1:13" ht="39" customHeight="1">
      <c r="A87" s="191" t="s">
        <v>557</v>
      </c>
      <c r="B87" s="88" t="s">
        <v>558</v>
      </c>
      <c r="C87" s="101" t="s">
        <v>134</v>
      </c>
      <c r="D87" s="193">
        <v>8785.5</v>
      </c>
      <c r="E87" s="193">
        <v>8785.5</v>
      </c>
      <c r="F87" s="193">
        <v>8785.5</v>
      </c>
      <c r="H87" s="193">
        <f>D87</f>
        <v>8785.5</v>
      </c>
      <c r="I87" s="193">
        <f>E87</f>
        <v>8785.5</v>
      </c>
      <c r="J87" s="193">
        <f>F87</f>
        <v>8785.5</v>
      </c>
      <c r="K87" s="193"/>
      <c r="L87" s="193"/>
      <c r="M87" s="193"/>
    </row>
    <row r="88" spans="1:13" ht="24.75">
      <c r="A88" s="191" t="s">
        <v>559</v>
      </c>
      <c r="B88" s="210" t="s">
        <v>560</v>
      </c>
      <c r="C88" s="101" t="s">
        <v>134</v>
      </c>
      <c r="D88" s="193" t="s">
        <v>415</v>
      </c>
      <c r="E88" s="193" t="s">
        <v>415</v>
      </c>
      <c r="F88" s="193" t="s">
        <v>415</v>
      </c>
      <c r="H88" s="193"/>
      <c r="I88" s="193"/>
      <c r="J88" s="193"/>
      <c r="K88" s="193"/>
      <c r="L88" s="193"/>
      <c r="M88" s="193"/>
    </row>
    <row r="89" spans="1:13" ht="25.5">
      <c r="A89" s="205" t="s">
        <v>561</v>
      </c>
      <c r="B89" s="207" t="s">
        <v>562</v>
      </c>
      <c r="C89" s="207" t="s">
        <v>134</v>
      </c>
      <c r="D89" s="186">
        <f>D91+D92+D93</f>
        <v>133144.195</v>
      </c>
      <c r="E89" s="186">
        <f>E91+E92+E93</f>
        <v>137218.6</v>
      </c>
      <c r="F89" s="186">
        <f>F91+F92+F93</f>
        <v>137829.2</v>
      </c>
      <c r="G89" s="187"/>
      <c r="H89" s="171">
        <f aca="true" t="shared" si="15" ref="H89:M89">SUM(H91:H97)</f>
        <v>133144.195</v>
      </c>
      <c r="I89" s="171">
        <f t="shared" si="15"/>
        <v>137218.6</v>
      </c>
      <c r="J89" s="171">
        <f t="shared" si="15"/>
        <v>137829.2</v>
      </c>
      <c r="K89" s="171">
        <f t="shared" si="15"/>
        <v>0</v>
      </c>
      <c r="L89" s="171">
        <f t="shared" si="15"/>
        <v>0</v>
      </c>
      <c r="M89" s="171">
        <f t="shared" si="15"/>
        <v>0</v>
      </c>
    </row>
    <row r="90" spans="1:13" ht="12.75" customHeight="1">
      <c r="A90" s="211" t="s">
        <v>109</v>
      </c>
      <c r="B90" s="211"/>
      <c r="C90" s="211"/>
      <c r="D90" s="211"/>
      <c r="E90" s="211"/>
      <c r="F90" s="211"/>
      <c r="G90" s="187"/>
      <c r="H90" s="186"/>
      <c r="I90" s="186"/>
      <c r="J90" s="186"/>
      <c r="K90" s="193"/>
      <c r="L90" s="193"/>
      <c r="M90" s="193"/>
    </row>
    <row r="91" spans="1:13" s="213" customFormat="1" ht="39.75" customHeight="1">
      <c r="A91" s="191" t="s">
        <v>563</v>
      </c>
      <c r="B91" s="101" t="s">
        <v>564</v>
      </c>
      <c r="C91" s="101" t="s">
        <v>134</v>
      </c>
      <c r="D91" s="193">
        <f>104733.10815-47.08+21688.66685-40.1</f>
        <v>126334.595</v>
      </c>
      <c r="E91" s="193">
        <v>130409</v>
      </c>
      <c r="F91" s="193">
        <v>131019.6</v>
      </c>
      <c r="G91" s="212"/>
      <c r="H91" s="193">
        <f aca="true" t="shared" si="16" ref="H91:J93">D91</f>
        <v>126334.595</v>
      </c>
      <c r="I91" s="193">
        <f t="shared" si="16"/>
        <v>130409</v>
      </c>
      <c r="J91" s="193">
        <f t="shared" si="16"/>
        <v>131019.6</v>
      </c>
      <c r="K91" s="193"/>
      <c r="L91" s="193"/>
      <c r="M91" s="193"/>
    </row>
    <row r="92" spans="1:13" ht="24.75">
      <c r="A92" s="191" t="s">
        <v>565</v>
      </c>
      <c r="B92" s="77" t="s">
        <v>566</v>
      </c>
      <c r="C92" s="77" t="s">
        <v>134</v>
      </c>
      <c r="D92" s="193">
        <v>5724.6</v>
      </c>
      <c r="E92" s="193">
        <v>5724.6</v>
      </c>
      <c r="F92" s="193">
        <v>5724.6</v>
      </c>
      <c r="H92" s="193">
        <f t="shared" si="16"/>
        <v>5724.6</v>
      </c>
      <c r="I92" s="193">
        <f t="shared" si="16"/>
        <v>5724.6</v>
      </c>
      <c r="J92" s="193">
        <f t="shared" si="16"/>
        <v>5724.6</v>
      </c>
      <c r="K92" s="193"/>
      <c r="L92" s="193"/>
      <c r="M92" s="193"/>
    </row>
    <row r="93" spans="1:13" ht="24.75">
      <c r="A93" s="191" t="s">
        <v>567</v>
      </c>
      <c r="B93" s="87" t="s">
        <v>568</v>
      </c>
      <c r="C93" s="101" t="s">
        <v>134</v>
      </c>
      <c r="D93" s="193">
        <f>482.7+602.3</f>
        <v>1085</v>
      </c>
      <c r="E93" s="193">
        <f>482.7+602.3</f>
        <v>1085</v>
      </c>
      <c r="F93" s="193">
        <f>482.7+602.3</f>
        <v>1085</v>
      </c>
      <c r="H93" s="193">
        <f t="shared" si="16"/>
        <v>1085</v>
      </c>
      <c r="I93" s="193">
        <f t="shared" si="16"/>
        <v>1085</v>
      </c>
      <c r="J93" s="193">
        <f t="shared" si="16"/>
        <v>1085</v>
      </c>
      <c r="K93" s="193"/>
      <c r="L93" s="193"/>
      <c r="M93" s="193"/>
    </row>
    <row r="94" spans="1:13" ht="24.75">
      <c r="A94" s="191" t="s">
        <v>569</v>
      </c>
      <c r="B94" s="77" t="s">
        <v>570</v>
      </c>
      <c r="C94" s="77" t="s">
        <v>134</v>
      </c>
      <c r="D94" s="193" t="s">
        <v>415</v>
      </c>
      <c r="E94" s="193" t="s">
        <v>415</v>
      </c>
      <c r="F94" s="193" t="s">
        <v>415</v>
      </c>
      <c r="H94" s="193"/>
      <c r="I94" s="193"/>
      <c r="J94" s="193"/>
      <c r="K94" s="193"/>
      <c r="L94" s="193"/>
      <c r="M94" s="193"/>
    </row>
    <row r="95" spans="1:13" ht="18" customHeight="1">
      <c r="A95" s="199" t="s">
        <v>112</v>
      </c>
      <c r="B95" s="199"/>
      <c r="C95" s="199"/>
      <c r="D95" s="199"/>
      <c r="E95" s="199"/>
      <c r="F95" s="199"/>
      <c r="H95" s="193"/>
      <c r="I95" s="193"/>
      <c r="J95" s="193"/>
      <c r="K95" s="193"/>
      <c r="L95" s="193"/>
      <c r="M95" s="193"/>
    </row>
    <row r="96" spans="1:13" ht="24.75">
      <c r="A96" s="191" t="s">
        <v>571</v>
      </c>
      <c r="B96" s="77" t="s">
        <v>572</v>
      </c>
      <c r="C96" s="77" t="s">
        <v>134</v>
      </c>
      <c r="D96" s="193" t="s">
        <v>415</v>
      </c>
      <c r="E96" s="193" t="s">
        <v>415</v>
      </c>
      <c r="F96" s="193" t="s">
        <v>415</v>
      </c>
      <c r="H96" s="193"/>
      <c r="I96" s="193"/>
      <c r="J96" s="193"/>
      <c r="K96" s="193"/>
      <c r="L96" s="193"/>
      <c r="M96" s="193"/>
    </row>
    <row r="97" spans="1:13" ht="35.25" customHeight="1">
      <c r="A97" s="214" t="s">
        <v>573</v>
      </c>
      <c r="B97" s="215" t="s">
        <v>574</v>
      </c>
      <c r="C97" s="215" t="s">
        <v>134</v>
      </c>
      <c r="D97" s="193" t="s">
        <v>415</v>
      </c>
      <c r="E97" s="193" t="s">
        <v>415</v>
      </c>
      <c r="F97" s="193" t="s">
        <v>415</v>
      </c>
      <c r="H97" s="193"/>
      <c r="I97" s="193"/>
      <c r="J97" s="193"/>
      <c r="K97" s="193"/>
      <c r="L97" s="193"/>
      <c r="M97" s="193"/>
    </row>
    <row r="98" ht="13.5"/>
  </sheetData>
  <sheetProtection selectLockedCells="1" selectUnlockedCells="1"/>
  <autoFilter ref="A7:M7"/>
  <mergeCells count="40">
    <mergeCell ref="D1:F1"/>
    <mergeCell ref="D2:F2"/>
    <mergeCell ref="A3:F3"/>
    <mergeCell ref="A5:A6"/>
    <mergeCell ref="B5:B6"/>
    <mergeCell ref="C5:C6"/>
    <mergeCell ref="D5:F5"/>
    <mergeCell ref="A8:A12"/>
    <mergeCell ref="B8:B12"/>
    <mergeCell ref="A13:A15"/>
    <mergeCell ref="B13:B15"/>
    <mergeCell ref="A16:F16"/>
    <mergeCell ref="A17:A18"/>
    <mergeCell ref="B17:B18"/>
    <mergeCell ref="A44:F44"/>
    <mergeCell ref="A46:A47"/>
    <mergeCell ref="B46:B47"/>
    <mergeCell ref="C46:C47"/>
    <mergeCell ref="A50:F50"/>
    <mergeCell ref="A53:A54"/>
    <mergeCell ref="B53:B54"/>
    <mergeCell ref="C53:C54"/>
    <mergeCell ref="A56:A57"/>
    <mergeCell ref="B56:B57"/>
    <mergeCell ref="C56:C57"/>
    <mergeCell ref="A60:F60"/>
    <mergeCell ref="A65:A66"/>
    <mergeCell ref="B65:B66"/>
    <mergeCell ref="A67:F67"/>
    <mergeCell ref="A71:F71"/>
    <mergeCell ref="A74:F74"/>
    <mergeCell ref="A77:A78"/>
    <mergeCell ref="B77:B78"/>
    <mergeCell ref="C77:C78"/>
    <mergeCell ref="A80:F80"/>
    <mergeCell ref="A82:A83"/>
    <mergeCell ref="B82:B83"/>
    <mergeCell ref="A86:F86"/>
    <mergeCell ref="A90:F90"/>
    <mergeCell ref="A95:F95"/>
  </mergeCells>
  <printOptions/>
  <pageMargins left="0.5902777777777778" right="0.39375" top="0.3090277777777778" bottom="0.2534722222222222" header="0.5118055555555555" footer="0.5118055555555555"/>
  <pageSetup fitToHeight="27" fitToWidth="1" horizontalDpi="300" verticalDpi="300" orientation="portrait" paperSize="9"/>
  <rowBreaks count="4" manualBreakCount="4">
    <brk id="23" max="255" man="1"/>
    <brk id="39" max="255" man="1"/>
    <brk id="46" max="255" man="1"/>
    <brk id="8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CI120"/>
  <sheetViews>
    <sheetView zoomScaleSheetLayoutView="100" workbookViewId="0" topLeftCell="A106">
      <selection activeCell="B114" sqref="B114"/>
    </sheetView>
  </sheetViews>
  <sheetFormatPr defaultColWidth="9.00390625" defaultRowHeight="12.75"/>
  <cols>
    <col min="1" max="1" width="19.50390625" style="172" customWidth="1"/>
    <col min="2" max="2" width="48.50390625" style="56" customWidth="1"/>
    <col min="3" max="3" width="34.00390625" style="56" customWidth="1"/>
    <col min="4" max="4" width="14.00390625" style="56" customWidth="1"/>
    <col min="5" max="5" width="16.00390625" style="56" customWidth="1"/>
    <col min="6" max="6" width="16.375" style="56" customWidth="1"/>
    <col min="7" max="7" width="15.875" style="173" customWidth="1"/>
    <col min="8" max="8" width="27.625" style="173" customWidth="1"/>
    <col min="9" max="16" width="0" style="173" hidden="1" customWidth="1"/>
    <col min="17" max="17" width="9.125" style="56" customWidth="1"/>
    <col min="18" max="18" width="13.125" style="56" customWidth="1"/>
    <col min="19" max="19" width="13.375" style="56" customWidth="1"/>
    <col min="20" max="20" width="14.375" style="56" customWidth="1"/>
    <col min="21" max="16384" width="9.125" style="56" customWidth="1"/>
  </cols>
  <sheetData>
    <row r="1" spans="4:7" ht="15" customHeight="1">
      <c r="D1" s="58"/>
      <c r="E1" s="58"/>
      <c r="F1" s="216"/>
      <c r="G1" s="216"/>
    </row>
    <row r="2" spans="4:7" ht="15" customHeight="1">
      <c r="D2" s="216" t="s">
        <v>437</v>
      </c>
      <c r="E2" s="216"/>
      <c r="F2" s="216"/>
      <c r="G2" s="216"/>
    </row>
    <row r="3" spans="4:7" ht="15" customHeight="1">
      <c r="D3" s="132" t="s">
        <v>575</v>
      </c>
      <c r="E3" s="132"/>
      <c r="F3" s="132"/>
      <c r="G3" s="132"/>
    </row>
    <row r="4" spans="4:7" ht="16.5">
      <c r="D4" s="58"/>
      <c r="E4" s="132" t="s">
        <v>576</v>
      </c>
      <c r="F4" s="132"/>
      <c r="G4" s="132"/>
    </row>
    <row r="5" spans="3:7" ht="15">
      <c r="C5" s="217" t="s">
        <v>577</v>
      </c>
      <c r="D5" s="217"/>
      <c r="E5" s="217"/>
      <c r="F5" s="217"/>
      <c r="G5" s="217"/>
    </row>
    <row r="6" spans="1:16" s="60" customFormat="1" ht="16.5">
      <c r="A6" s="174"/>
      <c r="B6" s="175"/>
      <c r="C6" s="175"/>
      <c r="D6" s="58"/>
      <c r="E6" s="132" t="s">
        <v>578</v>
      </c>
      <c r="F6" s="132"/>
      <c r="G6" s="132"/>
      <c r="H6" s="176"/>
      <c r="I6" s="173">
        <f>8783031.29797-19000-19000-2000-87.175-220-2483.7-400-200</f>
        <v>8739640.42297</v>
      </c>
      <c r="J6" s="173">
        <f>9547741.01-400-2612.8</f>
        <v>9544728.209999999</v>
      </c>
      <c r="K6" s="173">
        <f>9805617.44-400-2743.5</f>
        <v>9802473.94</v>
      </c>
      <c r="L6" s="173">
        <f>10065500.52-400-2743.5</f>
        <v>10062357.02</v>
      </c>
      <c r="M6" s="173">
        <f>1317731.952-19000</f>
        <v>1298731.952</v>
      </c>
      <c r="N6" s="173">
        <v>1793743.7</v>
      </c>
      <c r="O6" s="173">
        <v>1879751.9</v>
      </c>
      <c r="P6" s="173">
        <v>1937963.5</v>
      </c>
    </row>
    <row r="7" spans="1:16" s="60" customFormat="1" ht="15" customHeight="1">
      <c r="A7" s="174"/>
      <c r="B7" s="175"/>
      <c r="C7" s="175"/>
      <c r="D7" s="58"/>
      <c r="E7" s="59" t="s">
        <v>579</v>
      </c>
      <c r="F7" s="59"/>
      <c r="G7" s="59"/>
      <c r="H7" s="176"/>
      <c r="I7" s="173">
        <f>I6-D14</f>
        <v>0.004999998956918716</v>
      </c>
      <c r="J7" s="173">
        <f>J6-E14</f>
        <v>0</v>
      </c>
      <c r="K7" s="173">
        <f>K6-F14</f>
        <v>0</v>
      </c>
      <c r="L7" s="173">
        <f>L6-G14</f>
        <v>0</v>
      </c>
      <c r="M7" s="173" t="e">
        <f>M6-M13</f>
        <v>#REF!</v>
      </c>
      <c r="N7" s="173" t="e">
        <f>N6-N13</f>
        <v>#REF!</v>
      </c>
      <c r="O7" s="173" t="e">
        <f>O6-O13</f>
        <v>#REF!</v>
      </c>
      <c r="P7" s="173" t="e">
        <f>P6-P13</f>
        <v>#REF!</v>
      </c>
    </row>
    <row r="8" spans="1:16" s="60" customFormat="1" ht="45" customHeight="1">
      <c r="A8" s="218" t="s">
        <v>580</v>
      </c>
      <c r="B8" s="218"/>
      <c r="C8" s="218"/>
      <c r="D8" s="218"/>
      <c r="E8" s="218"/>
      <c r="F8" s="218"/>
      <c r="G8" s="218"/>
      <c r="H8" s="219"/>
      <c r="I8" s="176"/>
      <c r="J8" s="173"/>
      <c r="K8" s="173"/>
      <c r="L8" s="173"/>
      <c r="M8" s="173"/>
      <c r="N8" s="173"/>
      <c r="O8" s="173"/>
      <c r="P8" s="173"/>
    </row>
    <row r="9" spans="1:16" s="60" customFormat="1" ht="13.5" customHeight="1">
      <c r="A9" s="178"/>
      <c r="B9" s="178"/>
      <c r="C9" s="178"/>
      <c r="D9" s="178"/>
      <c r="E9" s="179"/>
      <c r="F9" s="179"/>
      <c r="G9" s="179"/>
      <c r="H9" s="176"/>
      <c r="I9" s="176"/>
      <c r="J9" s="173"/>
      <c r="K9" s="173"/>
      <c r="L9" s="173"/>
      <c r="M9" s="173"/>
      <c r="N9" s="173"/>
      <c r="O9" s="173"/>
      <c r="P9" s="173"/>
    </row>
    <row r="10" spans="1:7" ht="53.25" customHeight="1">
      <c r="A10" s="180" t="s">
        <v>432</v>
      </c>
      <c r="B10" s="181" t="s">
        <v>581</v>
      </c>
      <c r="C10" s="181" t="s">
        <v>434</v>
      </c>
      <c r="D10" s="182" t="s">
        <v>435</v>
      </c>
      <c r="E10" s="182"/>
      <c r="F10" s="182"/>
      <c r="G10" s="182"/>
    </row>
    <row r="11" spans="1:12" ht="39" customHeight="1">
      <c r="A11" s="180"/>
      <c r="B11" s="181"/>
      <c r="C11" s="181"/>
      <c r="D11" s="182">
        <v>2013</v>
      </c>
      <c r="E11" s="182">
        <v>2014</v>
      </c>
      <c r="F11" s="182">
        <v>2015</v>
      </c>
      <c r="G11" s="220">
        <v>2016</v>
      </c>
      <c r="I11" s="173" t="e">
        <f>I13+M13</f>
        <v>#REF!</v>
      </c>
      <c r="J11" s="173" t="e">
        <f>J13+N13</f>
        <v>#REF!</v>
      </c>
      <c r="K11" s="173" t="e">
        <f>K13+O13</f>
        <v>#REF!</v>
      </c>
      <c r="L11" s="173" t="e">
        <f>L13+P13</f>
        <v>#REF!</v>
      </c>
    </row>
    <row r="12" spans="1:12" ht="12.75">
      <c r="A12" s="180">
        <v>1</v>
      </c>
      <c r="B12" s="180">
        <v>2</v>
      </c>
      <c r="C12" s="180">
        <v>3</v>
      </c>
      <c r="D12" s="183">
        <v>4</v>
      </c>
      <c r="E12" s="183">
        <v>5</v>
      </c>
      <c r="F12" s="183">
        <v>6</v>
      </c>
      <c r="G12" s="220">
        <v>7</v>
      </c>
      <c r="I12" s="173" t="e">
        <f>D13-I11</f>
        <v>#REF!</v>
      </c>
      <c r="J12" s="173" t="e">
        <f>E13-J11</f>
        <v>#REF!</v>
      </c>
      <c r="K12" s="173" t="e">
        <f>F13-K11</f>
        <v>#REF!</v>
      </c>
      <c r="L12" s="173" t="e">
        <f>G13-L11</f>
        <v>#REF!</v>
      </c>
    </row>
    <row r="13" spans="1:20" ht="12.75" customHeight="1">
      <c r="A13" s="184" t="s">
        <v>436</v>
      </c>
      <c r="B13" s="185" t="s">
        <v>437</v>
      </c>
      <c r="C13" s="185" t="s">
        <v>438</v>
      </c>
      <c r="D13" s="221">
        <f>SUM(D14:D19)</f>
        <v>8960854.217970002</v>
      </c>
      <c r="E13" s="221">
        <f>SUM(E14:E19)</f>
        <v>9895852.81</v>
      </c>
      <c r="F13" s="221">
        <f>SUM(F14:F19)</f>
        <v>10097087.539999997</v>
      </c>
      <c r="G13" s="221">
        <f>SUM(G14:G19)</f>
        <v>10727266.62</v>
      </c>
      <c r="H13" s="187"/>
      <c r="I13" s="221" t="e">
        <f>SUM(I14:I19)</f>
        <v>#REF!</v>
      </c>
      <c r="J13" s="221" t="e">
        <f aca="true" t="shared" si="0" ref="J13:P13">SUM(J14:J19)</f>
        <v>#REF!</v>
      </c>
      <c r="K13" s="221" t="e">
        <f t="shared" si="0"/>
        <v>#REF!</v>
      </c>
      <c r="L13" s="221" t="e">
        <f t="shared" si="0"/>
        <v>#REF!</v>
      </c>
      <c r="M13" s="221" t="e">
        <f t="shared" si="0"/>
        <v>#REF!</v>
      </c>
      <c r="N13" s="221" t="e">
        <f t="shared" si="0"/>
        <v>#REF!</v>
      </c>
      <c r="O13" s="221" t="e">
        <f t="shared" si="0"/>
        <v>#REF!</v>
      </c>
      <c r="P13" s="222" t="e">
        <f t="shared" si="0"/>
        <v>#REF!</v>
      </c>
      <c r="Q13" s="223"/>
      <c r="R13" s="223"/>
      <c r="S13" s="223"/>
      <c r="T13" s="223"/>
    </row>
    <row r="14" spans="1:20" ht="26.25">
      <c r="A14" s="184"/>
      <c r="B14" s="185"/>
      <c r="C14" s="188" t="s">
        <v>134</v>
      </c>
      <c r="D14" s="221">
        <f>D20+D78+D111</f>
        <v>8739640.417970002</v>
      </c>
      <c r="E14" s="221">
        <f>E20+E78+E111</f>
        <v>9544728.21</v>
      </c>
      <c r="F14" s="221">
        <f>F20+F78+F111</f>
        <v>9802473.939999998</v>
      </c>
      <c r="G14" s="221">
        <f>G20+G78+G111</f>
        <v>10062357.02</v>
      </c>
      <c r="I14" s="221" t="e">
        <f aca="true" t="shared" si="1" ref="I14:P14">I20+I78+I111</f>
        <v>#REF!</v>
      </c>
      <c r="J14" s="221" t="e">
        <f t="shared" si="1"/>
        <v>#REF!</v>
      </c>
      <c r="K14" s="221" t="e">
        <f t="shared" si="1"/>
        <v>#REF!</v>
      </c>
      <c r="L14" s="221" t="e">
        <f t="shared" si="1"/>
        <v>#REF!</v>
      </c>
      <c r="M14" s="221" t="e">
        <f t="shared" si="1"/>
        <v>#REF!</v>
      </c>
      <c r="N14" s="221" t="e">
        <f t="shared" si="1"/>
        <v>#REF!</v>
      </c>
      <c r="O14" s="221" t="e">
        <f t="shared" si="1"/>
        <v>#REF!</v>
      </c>
      <c r="P14" s="222" t="e">
        <f t="shared" si="1"/>
        <v>#REF!</v>
      </c>
      <c r="Q14" s="223"/>
      <c r="R14" s="223"/>
      <c r="S14" s="223"/>
      <c r="T14" s="223"/>
    </row>
    <row r="15" spans="1:20" ht="26.25">
      <c r="A15" s="184"/>
      <c r="B15" s="185"/>
      <c r="C15" s="188" t="s">
        <v>439</v>
      </c>
      <c r="D15" s="221">
        <f aca="true" t="shared" si="2" ref="D15:G16">D21</f>
        <v>2001.2</v>
      </c>
      <c r="E15" s="221">
        <f t="shared" si="2"/>
        <v>2001.2</v>
      </c>
      <c r="F15" s="221">
        <f t="shared" si="2"/>
        <v>2001.2</v>
      </c>
      <c r="G15" s="221">
        <f t="shared" si="2"/>
        <v>2001.2</v>
      </c>
      <c r="I15" s="221">
        <f aca="true" t="shared" si="3" ref="I15:P16">I21</f>
        <v>2001.2</v>
      </c>
      <c r="J15" s="221">
        <f t="shared" si="3"/>
        <v>2001.2</v>
      </c>
      <c r="K15" s="221">
        <f t="shared" si="3"/>
        <v>2001.2</v>
      </c>
      <c r="L15" s="221">
        <f t="shared" si="3"/>
        <v>2001.2</v>
      </c>
      <c r="M15" s="221">
        <f t="shared" si="3"/>
        <v>0</v>
      </c>
      <c r="N15" s="221">
        <f t="shared" si="3"/>
        <v>0</v>
      </c>
      <c r="O15" s="221">
        <f t="shared" si="3"/>
        <v>0</v>
      </c>
      <c r="P15" s="222">
        <f t="shared" si="3"/>
        <v>0</v>
      </c>
      <c r="Q15" s="223"/>
      <c r="R15" s="223"/>
      <c r="S15" s="223"/>
      <c r="T15" s="223"/>
    </row>
    <row r="16" spans="1:20" ht="26.25">
      <c r="A16" s="184"/>
      <c r="B16" s="185"/>
      <c r="C16" s="188" t="s">
        <v>440</v>
      </c>
      <c r="D16" s="221">
        <f>D22</f>
        <v>208720.6</v>
      </c>
      <c r="E16" s="221">
        <f t="shared" si="2"/>
        <v>234627.4</v>
      </c>
      <c r="F16" s="221">
        <f t="shared" si="2"/>
        <v>234627.4</v>
      </c>
      <c r="G16" s="221">
        <f t="shared" si="2"/>
        <v>234627.4</v>
      </c>
      <c r="I16" s="221">
        <f>I22</f>
        <v>208720.6</v>
      </c>
      <c r="J16" s="221">
        <f t="shared" si="3"/>
        <v>234627.4</v>
      </c>
      <c r="K16" s="221">
        <f t="shared" si="3"/>
        <v>234627.4</v>
      </c>
      <c r="L16" s="221">
        <f t="shared" si="3"/>
        <v>234627.4</v>
      </c>
      <c r="M16" s="221">
        <f t="shared" si="3"/>
        <v>0</v>
      </c>
      <c r="N16" s="221">
        <f t="shared" si="3"/>
        <v>0</v>
      </c>
      <c r="O16" s="221">
        <f t="shared" si="3"/>
        <v>0</v>
      </c>
      <c r="P16" s="222">
        <f t="shared" si="3"/>
        <v>0</v>
      </c>
      <c r="Q16" s="223"/>
      <c r="R16" s="223"/>
      <c r="S16" s="223"/>
      <c r="T16" s="223"/>
    </row>
    <row r="17" spans="1:20" ht="26.25">
      <c r="A17" s="184"/>
      <c r="B17" s="185"/>
      <c r="C17" s="188" t="s">
        <v>582</v>
      </c>
      <c r="D17" s="221">
        <f aca="true" t="shared" si="4" ref="D17:G18">D80</f>
        <v>0</v>
      </c>
      <c r="E17" s="221">
        <f t="shared" si="4"/>
        <v>14496</v>
      </c>
      <c r="F17" s="221">
        <f t="shared" si="4"/>
        <v>57985</v>
      </c>
      <c r="G17" s="221">
        <f t="shared" si="4"/>
        <v>57985</v>
      </c>
      <c r="I17" s="224">
        <f aca="true" t="shared" si="5" ref="I17:P18">I80</f>
        <v>0</v>
      </c>
      <c r="J17" s="224">
        <f t="shared" si="5"/>
        <v>14496</v>
      </c>
      <c r="K17" s="224">
        <f t="shared" si="5"/>
        <v>57985</v>
      </c>
      <c r="L17" s="224">
        <f t="shared" si="5"/>
        <v>57985</v>
      </c>
      <c r="M17" s="224">
        <f t="shared" si="5"/>
        <v>0</v>
      </c>
      <c r="N17" s="224">
        <f t="shared" si="5"/>
        <v>0</v>
      </c>
      <c r="O17" s="224">
        <f t="shared" si="5"/>
        <v>0</v>
      </c>
      <c r="P17" s="225">
        <f t="shared" si="5"/>
        <v>0</v>
      </c>
      <c r="Q17" s="223"/>
      <c r="R17" s="223"/>
      <c r="S17" s="223"/>
      <c r="T17" s="223"/>
    </row>
    <row r="18" spans="1:20" ht="26.25">
      <c r="A18" s="184"/>
      <c r="B18" s="185"/>
      <c r="C18" s="188" t="s">
        <v>583</v>
      </c>
      <c r="D18" s="221">
        <f>D81</f>
        <v>0</v>
      </c>
      <c r="E18" s="221">
        <f t="shared" si="4"/>
        <v>0</v>
      </c>
      <c r="F18" s="221">
        <f t="shared" si="4"/>
        <v>0</v>
      </c>
      <c r="G18" s="221">
        <f t="shared" si="4"/>
        <v>0</v>
      </c>
      <c r="I18" s="224">
        <f>I81</f>
        <v>0</v>
      </c>
      <c r="J18" s="224">
        <f t="shared" si="5"/>
        <v>0</v>
      </c>
      <c r="K18" s="224">
        <f t="shared" si="5"/>
        <v>0</v>
      </c>
      <c r="L18" s="224">
        <f t="shared" si="5"/>
        <v>0</v>
      </c>
      <c r="M18" s="224">
        <f t="shared" si="5"/>
        <v>0</v>
      </c>
      <c r="N18" s="224">
        <f t="shared" si="5"/>
        <v>0</v>
      </c>
      <c r="O18" s="224">
        <f t="shared" si="5"/>
        <v>0</v>
      </c>
      <c r="P18" s="225">
        <f t="shared" si="5"/>
        <v>0</v>
      </c>
      <c r="Q18" s="223"/>
      <c r="R18" s="223"/>
      <c r="S18" s="223"/>
      <c r="T18" s="223"/>
    </row>
    <row r="19" spans="1:20" ht="39">
      <c r="A19" s="184"/>
      <c r="B19" s="185"/>
      <c r="C19" s="188" t="s">
        <v>254</v>
      </c>
      <c r="D19" s="221">
        <f>D79</f>
        <v>10492</v>
      </c>
      <c r="E19" s="221">
        <f>E79</f>
        <v>100000</v>
      </c>
      <c r="F19" s="221">
        <f>F79</f>
        <v>0</v>
      </c>
      <c r="G19" s="221">
        <f>G79</f>
        <v>370296</v>
      </c>
      <c r="I19" s="221">
        <f>I79</f>
        <v>10492</v>
      </c>
      <c r="J19" s="221">
        <f aca="true" t="shared" si="6" ref="J19:P19">J79</f>
        <v>100000</v>
      </c>
      <c r="K19" s="221">
        <f t="shared" si="6"/>
        <v>0</v>
      </c>
      <c r="L19" s="221">
        <f t="shared" si="6"/>
        <v>370296</v>
      </c>
      <c r="M19" s="221">
        <f t="shared" si="6"/>
        <v>0</v>
      </c>
      <c r="N19" s="221">
        <f t="shared" si="6"/>
        <v>0</v>
      </c>
      <c r="O19" s="221">
        <f t="shared" si="6"/>
        <v>0</v>
      </c>
      <c r="P19" s="222">
        <f t="shared" si="6"/>
        <v>0</v>
      </c>
      <c r="Q19" s="223"/>
      <c r="R19" s="223"/>
      <c r="S19" s="223"/>
      <c r="T19" s="223"/>
    </row>
    <row r="20" spans="1:20" ht="26.25" customHeight="1">
      <c r="A20" s="189" t="s">
        <v>441</v>
      </c>
      <c r="B20" s="185" t="s">
        <v>442</v>
      </c>
      <c r="C20" s="188" t="s">
        <v>134</v>
      </c>
      <c r="D20" s="221">
        <f>D24+D26+D27+D28+D29+D30+D31+D32+D33+D34+D35+D36+D37+D38+D39+D40+D41+D42+D43+D45+D46+D47+D48+D49+D51+D52+D50+D53+D55+D56+D58+D59+D60+D62+D63+D64+D66+D67+D69+D70+D71</f>
        <v>6125734.939890001</v>
      </c>
      <c r="E20" s="221">
        <f>E24+E26+E27+E28+E29+E30+E31+E32+E33+E34+E35+E36+E37+E38+E39+E40+E41+E42+E43+E45+E46+E47+E48+E49+E51+E52+E50+E53+E55+E56+E58+E59+E60+E62+E63+E64+E66+E67+E69+E70+E71</f>
        <v>6889288.699999999</v>
      </c>
      <c r="F20" s="221">
        <f>F24+F26+F27+F28+F29+F30+F31+F32+F33+F34+F35+F36+F37+F38+F39+F40+F41+F42+F43+F45+F46+F47+F48+F49+F51+F52+F50+F53+F55+F56+F58+F59+F60+F62+F63+F64+F66+F67+F69+F70+F71</f>
        <v>7151981.659999998</v>
      </c>
      <c r="G20" s="221">
        <f>G24+G26+G27+G28+G29+G30+G31+G32+G33+G34+G35+G36+G37+G38+G39+G40+G41+G42+G43+G45+G46+G47+G48+G49+G51+G52+G50+G53+G55+G56+G58+G59+G60+G62+G63+G64+G66+G67+G69+G70+G71</f>
        <v>7480671.09</v>
      </c>
      <c r="I20" s="221" t="e">
        <f>I24+I26+I27+I28+I29+I30+I31+I32+I33+I34+I35+I36+I37+I38+I39+I40+I41+I42+I43+I45+I46+I47+I48+I49+I51+I52+#REF!+I55+I56+I58+I59+I60+I62+I63+I64+I66+I67+I69+I70+I71</f>
        <v>#REF!</v>
      </c>
      <c r="J20" s="221" t="e">
        <f>J24+J26+J27+J28+J29+J30+J31+J32+J33+J34+J35+J36+J37+J38+J39+J40+J41+J42+J43+J45+J46+J47+J48+J49+J51+J52+#REF!+J55+J56+J58+J59+J60+J62+J63+J64+J66+J67+J69+J70+J71</f>
        <v>#REF!</v>
      </c>
      <c r="K20" s="221" t="e">
        <f>K24+K26+K27+K28+K29+K30+K31+K32+K33+K34+K35+K36+K37+K38+K39+K40+K41+K42+K43+K45+K46+K47+K48+K49+K51+K52+#REF!+K55+K56+K58+K59+K60+K62+K63+K64+K66+K67+K69+K70+K71</f>
        <v>#REF!</v>
      </c>
      <c r="L20" s="221" t="e">
        <f>L24+L26+L27+L28+L29+L30+L31+L32+L33+L34+L35+L36+L37+L38+L39+L40+L41+L42+L43+L45+L46+L47+L48+L49+L51+L52+#REF!+L55+L56+L58+L59+L60+L62+L63+L64+L66+L67+L69+L70+L71</f>
        <v>#REF!</v>
      </c>
      <c r="M20" s="221" t="e">
        <f>M24+M26+M27+M28+M29+M30+M31+M32+M33+M34+M35+M36+M37+M38+M39+M40+M41+M42+M43+M45+M46+M47+M48+M49+M51+M52+#REF!+M53+M55+M56+M57+M58+M59+M60+M62+M63+M64+M65+M66+M67+M68+M69+M70+M71+M72</f>
        <v>#REF!</v>
      </c>
      <c r="N20" s="221" t="e">
        <f>N24+N26+N27+N28+N29+N30+N31+N32+N33+N34+N35+N36+N37+N38+N39+N40+N41+N42+N43+N45+N46+N47+N48+N49+N51+N52+#REF!+N53+N55+N56+N57+N58+N59+N60+N62+N63+N64+N65+N66+N67+N68+N69+N70+N71+N72</f>
        <v>#REF!</v>
      </c>
      <c r="O20" s="221" t="e">
        <f>O24+O26+O27+O28+O29+O30+O31+O32+O33+O34+O35+O36+O37+O38+O39+O40+O41+O42+O43+O45+O46+O47+O48+O49+O51+O52+#REF!+O53+O55+O56+O57+O58+O59+O60+O62+O63+O64+O65+O66+O67+O68+O69+O70+O71+O72</f>
        <v>#REF!</v>
      </c>
      <c r="P20" s="222" t="e">
        <f>P24+P26+P27+P28+P29+P30+P31+P32+P33+P34+P35+P36+P37+P38+P39+P40+P41+P42+P43+P45+P46+P47+P48+P49+P51+P52+#REF!+P53+P55+P56+P57+P58+P59+P60+P62+P63+P64+P65+P66+P67+P68+P69+P70+P71+P72</f>
        <v>#REF!</v>
      </c>
      <c r="Q20" s="223"/>
      <c r="R20" s="223"/>
      <c r="S20" s="223"/>
      <c r="T20" s="223"/>
    </row>
    <row r="21" spans="1:20" ht="26.25">
      <c r="A21" s="189"/>
      <c r="B21" s="185"/>
      <c r="C21" s="188" t="s">
        <v>439</v>
      </c>
      <c r="D21" s="221">
        <f>D25</f>
        <v>2001.2</v>
      </c>
      <c r="E21" s="221">
        <f>E25</f>
        <v>2001.2</v>
      </c>
      <c r="F21" s="221">
        <f>F25</f>
        <v>2001.2</v>
      </c>
      <c r="G21" s="221">
        <f>G25</f>
        <v>2001.2</v>
      </c>
      <c r="H21" s="187"/>
      <c r="I21" s="221">
        <f>I25</f>
        <v>2001.2</v>
      </c>
      <c r="J21" s="221">
        <f aca="true" t="shared" si="7" ref="J21:P21">J25</f>
        <v>2001.2</v>
      </c>
      <c r="K21" s="221">
        <f t="shared" si="7"/>
        <v>2001.2</v>
      </c>
      <c r="L21" s="221">
        <f t="shared" si="7"/>
        <v>2001.2</v>
      </c>
      <c r="M21" s="221">
        <f t="shared" si="7"/>
        <v>0</v>
      </c>
      <c r="N21" s="221">
        <f t="shared" si="7"/>
        <v>0</v>
      </c>
      <c r="O21" s="221">
        <f t="shared" si="7"/>
        <v>0</v>
      </c>
      <c r="P21" s="222">
        <f t="shared" si="7"/>
        <v>0</v>
      </c>
      <c r="Q21" s="223"/>
      <c r="R21" s="223"/>
      <c r="S21" s="223"/>
      <c r="T21" s="223"/>
    </row>
    <row r="22" spans="1:20" ht="26.25">
      <c r="A22" s="189"/>
      <c r="B22" s="185"/>
      <c r="C22" s="188" t="s">
        <v>440</v>
      </c>
      <c r="D22" s="221">
        <f>D44</f>
        <v>208720.6</v>
      </c>
      <c r="E22" s="221">
        <f>E44</f>
        <v>234627.4</v>
      </c>
      <c r="F22" s="221">
        <f>F44</f>
        <v>234627.4</v>
      </c>
      <c r="G22" s="221">
        <f>G44</f>
        <v>234627.4</v>
      </c>
      <c r="I22" s="221">
        <f>I44</f>
        <v>208720.6</v>
      </c>
      <c r="J22" s="221">
        <f aca="true" t="shared" si="8" ref="J22:P22">J44</f>
        <v>234627.4</v>
      </c>
      <c r="K22" s="221">
        <f t="shared" si="8"/>
        <v>234627.4</v>
      </c>
      <c r="L22" s="221">
        <f t="shared" si="8"/>
        <v>234627.4</v>
      </c>
      <c r="M22" s="221">
        <f t="shared" si="8"/>
        <v>0</v>
      </c>
      <c r="N22" s="221">
        <f t="shared" si="8"/>
        <v>0</v>
      </c>
      <c r="O22" s="221">
        <f t="shared" si="8"/>
        <v>0</v>
      </c>
      <c r="P22" s="222">
        <f t="shared" si="8"/>
        <v>0</v>
      </c>
      <c r="Q22" s="223"/>
      <c r="R22" s="223"/>
      <c r="S22" s="223"/>
      <c r="T22" s="223"/>
    </row>
    <row r="23" spans="1:16" ht="12.75" customHeight="1">
      <c r="A23" s="190" t="s">
        <v>125</v>
      </c>
      <c r="B23" s="190"/>
      <c r="C23" s="190"/>
      <c r="D23" s="190"/>
      <c r="E23" s="190"/>
      <c r="F23" s="190"/>
      <c r="G23" s="190"/>
      <c r="I23" s="221"/>
      <c r="J23" s="221"/>
      <c r="K23" s="221"/>
      <c r="L23" s="221"/>
      <c r="M23" s="221"/>
      <c r="N23" s="221"/>
      <c r="O23" s="221"/>
      <c r="P23" s="221"/>
    </row>
    <row r="24" spans="1:16" ht="26.25" customHeight="1">
      <c r="A24" s="191" t="s">
        <v>443</v>
      </c>
      <c r="B24" s="105" t="s">
        <v>444</v>
      </c>
      <c r="C24" s="88" t="s">
        <v>134</v>
      </c>
      <c r="D24" s="209">
        <v>2681494.40389</v>
      </c>
      <c r="E24" s="209">
        <v>2882209.9</v>
      </c>
      <c r="F24" s="209">
        <v>3041693.8</v>
      </c>
      <c r="G24" s="163">
        <v>3202131.5</v>
      </c>
      <c r="H24" s="226"/>
      <c r="I24" s="209">
        <f>D24</f>
        <v>2681494.40389</v>
      </c>
      <c r="J24" s="209">
        <f>E24</f>
        <v>2882209.9</v>
      </c>
      <c r="K24" s="209">
        <f>F24</f>
        <v>3041693.8</v>
      </c>
      <c r="L24" s="209">
        <f>G24</f>
        <v>3202131.5</v>
      </c>
      <c r="M24" s="209"/>
      <c r="N24" s="209"/>
      <c r="O24" s="209"/>
      <c r="P24" s="209"/>
    </row>
    <row r="25" spans="1:16" ht="26.25">
      <c r="A25" s="191"/>
      <c r="B25" s="105"/>
      <c r="C25" s="88" t="s">
        <v>439</v>
      </c>
      <c r="D25" s="209">
        <v>2001.2</v>
      </c>
      <c r="E25" s="209">
        <v>2001.2</v>
      </c>
      <c r="F25" s="209">
        <v>2001.2</v>
      </c>
      <c r="G25" s="209">
        <v>2001.2</v>
      </c>
      <c r="I25" s="209">
        <f>D25</f>
        <v>2001.2</v>
      </c>
      <c r="J25" s="209">
        <f>E25</f>
        <v>2001.2</v>
      </c>
      <c r="K25" s="209">
        <f aca="true" t="shared" si="9" ref="K25:L69">F25</f>
        <v>2001.2</v>
      </c>
      <c r="L25" s="209">
        <f t="shared" si="9"/>
        <v>2001.2</v>
      </c>
      <c r="M25" s="209"/>
      <c r="N25" s="209"/>
      <c r="O25" s="209"/>
      <c r="P25" s="209"/>
    </row>
    <row r="26" spans="1:16" ht="27" customHeight="1">
      <c r="A26" s="191" t="s">
        <v>445</v>
      </c>
      <c r="B26" s="194" t="s">
        <v>446</v>
      </c>
      <c r="C26" s="195" t="s">
        <v>134</v>
      </c>
      <c r="D26" s="209">
        <f>717422.8+1260</f>
        <v>718682.8</v>
      </c>
      <c r="E26" s="209">
        <v>936491.7</v>
      </c>
      <c r="F26" s="209">
        <v>973091.1</v>
      </c>
      <c r="G26" s="209">
        <v>982139.3</v>
      </c>
      <c r="I26" s="209"/>
      <c r="J26" s="209"/>
      <c r="K26" s="209"/>
      <c r="L26" s="209"/>
      <c r="M26" s="209">
        <f>D26</f>
        <v>718682.8</v>
      </c>
      <c r="N26" s="209">
        <f>E26</f>
        <v>936491.7</v>
      </c>
      <c r="O26" s="209">
        <f>F26</f>
        <v>973091.1</v>
      </c>
      <c r="P26" s="209">
        <f>G26</f>
        <v>982139.3</v>
      </c>
    </row>
    <row r="27" spans="1:16" ht="36">
      <c r="A27" s="191" t="s">
        <v>447</v>
      </c>
      <c r="B27" s="194" t="s">
        <v>584</v>
      </c>
      <c r="C27" s="195" t="s">
        <v>134</v>
      </c>
      <c r="D27" s="209">
        <v>175244.2</v>
      </c>
      <c r="E27" s="209">
        <v>189669.2</v>
      </c>
      <c r="F27" s="209">
        <v>189669.2</v>
      </c>
      <c r="G27" s="209">
        <v>189669.2</v>
      </c>
      <c r="I27" s="209">
        <f aca="true" t="shared" si="10" ref="I27:I38">D27</f>
        <v>175244.2</v>
      </c>
      <c r="J27" s="209">
        <f aca="true" t="shared" si="11" ref="J27:J38">E27</f>
        <v>189669.2</v>
      </c>
      <c r="K27" s="209">
        <f t="shared" si="9"/>
        <v>189669.2</v>
      </c>
      <c r="L27" s="209">
        <f t="shared" si="9"/>
        <v>189669.2</v>
      </c>
      <c r="M27" s="209"/>
      <c r="N27" s="209"/>
      <c r="O27" s="209"/>
      <c r="P27" s="209"/>
    </row>
    <row r="28" spans="1:16" ht="24.75">
      <c r="A28" s="191" t="s">
        <v>449</v>
      </c>
      <c r="B28" s="194" t="s">
        <v>585</v>
      </c>
      <c r="C28" s="195" t="s">
        <v>134</v>
      </c>
      <c r="D28" s="209">
        <v>177034.96</v>
      </c>
      <c r="E28" s="209">
        <v>185589.4</v>
      </c>
      <c r="F28" s="209">
        <v>185659.9</v>
      </c>
      <c r="G28" s="209">
        <v>185731.4</v>
      </c>
      <c r="I28" s="209">
        <f t="shared" si="10"/>
        <v>177034.96</v>
      </c>
      <c r="J28" s="209">
        <f t="shared" si="11"/>
        <v>185589.4</v>
      </c>
      <c r="K28" s="209">
        <f t="shared" si="9"/>
        <v>185659.9</v>
      </c>
      <c r="L28" s="209">
        <f t="shared" si="9"/>
        <v>185731.4</v>
      </c>
      <c r="M28" s="209"/>
      <c r="N28" s="209"/>
      <c r="O28" s="209"/>
      <c r="P28" s="209"/>
    </row>
    <row r="29" spans="1:16" ht="24.75">
      <c r="A29" s="191" t="s">
        <v>451</v>
      </c>
      <c r="B29" s="88" t="s">
        <v>452</v>
      </c>
      <c r="C29" s="88" t="s">
        <v>134</v>
      </c>
      <c r="D29" s="209">
        <v>9134.024</v>
      </c>
      <c r="E29" s="209">
        <v>9215</v>
      </c>
      <c r="F29" s="209">
        <v>9215</v>
      </c>
      <c r="G29" s="209">
        <v>9215</v>
      </c>
      <c r="I29" s="209">
        <f t="shared" si="10"/>
        <v>9134.024</v>
      </c>
      <c r="J29" s="209">
        <f t="shared" si="11"/>
        <v>9215</v>
      </c>
      <c r="K29" s="209">
        <f t="shared" si="9"/>
        <v>9215</v>
      </c>
      <c r="L29" s="209">
        <f t="shared" si="9"/>
        <v>9215</v>
      </c>
      <c r="M29" s="209"/>
      <c r="N29" s="209"/>
      <c r="O29" s="209"/>
      <c r="P29" s="209"/>
    </row>
    <row r="30" spans="1:16" ht="37.5" customHeight="1">
      <c r="A30" s="191" t="s">
        <v>453</v>
      </c>
      <c r="B30" s="88" t="s">
        <v>586</v>
      </c>
      <c r="C30" s="88" t="s">
        <v>134</v>
      </c>
      <c r="D30" s="209">
        <v>49365.3</v>
      </c>
      <c r="E30" s="209">
        <v>50663.1</v>
      </c>
      <c r="F30" s="209">
        <v>53680.7</v>
      </c>
      <c r="G30" s="163">
        <v>56623.8</v>
      </c>
      <c r="I30" s="209">
        <f t="shared" si="10"/>
        <v>49365.3</v>
      </c>
      <c r="J30" s="209">
        <f t="shared" si="11"/>
        <v>50663.1</v>
      </c>
      <c r="K30" s="209">
        <f t="shared" si="9"/>
        <v>53680.7</v>
      </c>
      <c r="L30" s="209">
        <f t="shared" si="9"/>
        <v>56623.8</v>
      </c>
      <c r="M30" s="209"/>
      <c r="N30" s="209"/>
      <c r="O30" s="209"/>
      <c r="P30" s="209"/>
    </row>
    <row r="31" spans="1:16" ht="38.25" customHeight="1">
      <c r="A31" s="191" t="s">
        <v>455</v>
      </c>
      <c r="B31" s="88" t="s">
        <v>456</v>
      </c>
      <c r="C31" s="88" t="s">
        <v>134</v>
      </c>
      <c r="D31" s="209">
        <v>87700</v>
      </c>
      <c r="E31" s="209">
        <v>80500</v>
      </c>
      <c r="F31" s="209">
        <v>80500</v>
      </c>
      <c r="G31" s="209">
        <v>80500</v>
      </c>
      <c r="I31" s="209">
        <f t="shared" si="10"/>
        <v>87700</v>
      </c>
      <c r="J31" s="209">
        <f t="shared" si="11"/>
        <v>80500</v>
      </c>
      <c r="K31" s="209">
        <f t="shared" si="9"/>
        <v>80500</v>
      </c>
      <c r="L31" s="209">
        <f t="shared" si="9"/>
        <v>80500</v>
      </c>
      <c r="M31" s="209"/>
      <c r="N31" s="209"/>
      <c r="O31" s="209"/>
      <c r="P31" s="209"/>
    </row>
    <row r="32" spans="1:16" ht="27.75" customHeight="1">
      <c r="A32" s="191" t="s">
        <v>457</v>
      </c>
      <c r="B32" s="227" t="s">
        <v>458</v>
      </c>
      <c r="C32" s="88" t="s">
        <v>134</v>
      </c>
      <c r="D32" s="209">
        <v>11916.6</v>
      </c>
      <c r="E32" s="209">
        <v>11853</v>
      </c>
      <c r="F32" s="209">
        <v>11853</v>
      </c>
      <c r="G32" s="209">
        <v>11853</v>
      </c>
      <c r="I32" s="209">
        <f t="shared" si="10"/>
        <v>11916.6</v>
      </c>
      <c r="J32" s="209">
        <f t="shared" si="11"/>
        <v>11853</v>
      </c>
      <c r="K32" s="209">
        <f t="shared" si="9"/>
        <v>11853</v>
      </c>
      <c r="L32" s="209">
        <f t="shared" si="9"/>
        <v>11853</v>
      </c>
      <c r="M32" s="209"/>
      <c r="N32" s="209"/>
      <c r="O32" s="209"/>
      <c r="P32" s="209"/>
    </row>
    <row r="33" spans="1:16" ht="41.25" customHeight="1">
      <c r="A33" s="191" t="s">
        <v>459</v>
      </c>
      <c r="B33" s="88" t="s">
        <v>587</v>
      </c>
      <c r="C33" s="88" t="s">
        <v>134</v>
      </c>
      <c r="D33" s="209">
        <v>5240.7</v>
      </c>
      <c r="E33" s="209">
        <v>5275.7</v>
      </c>
      <c r="F33" s="209">
        <v>5275.7</v>
      </c>
      <c r="G33" s="209">
        <v>5275.7</v>
      </c>
      <c r="I33" s="209">
        <f t="shared" si="10"/>
        <v>5240.7</v>
      </c>
      <c r="J33" s="209">
        <f t="shared" si="11"/>
        <v>5275.7</v>
      </c>
      <c r="K33" s="209">
        <f t="shared" si="9"/>
        <v>5275.7</v>
      </c>
      <c r="L33" s="209">
        <f t="shared" si="9"/>
        <v>5275.7</v>
      </c>
      <c r="M33" s="209"/>
      <c r="N33" s="209"/>
      <c r="O33" s="209"/>
      <c r="P33" s="209"/>
    </row>
    <row r="34" spans="1:16" ht="39.75" customHeight="1">
      <c r="A34" s="191" t="s">
        <v>461</v>
      </c>
      <c r="B34" s="88" t="s">
        <v>462</v>
      </c>
      <c r="C34" s="88" t="s">
        <v>134</v>
      </c>
      <c r="D34" s="209">
        <v>501.2</v>
      </c>
      <c r="E34" s="209">
        <v>501.2</v>
      </c>
      <c r="F34" s="209">
        <v>501.2</v>
      </c>
      <c r="G34" s="209">
        <v>501.2</v>
      </c>
      <c r="I34" s="209">
        <f t="shared" si="10"/>
        <v>501.2</v>
      </c>
      <c r="J34" s="209">
        <f t="shared" si="11"/>
        <v>501.2</v>
      </c>
      <c r="K34" s="209">
        <f t="shared" si="9"/>
        <v>501.2</v>
      </c>
      <c r="L34" s="209">
        <f t="shared" si="9"/>
        <v>501.2</v>
      </c>
      <c r="M34" s="209"/>
      <c r="N34" s="209"/>
      <c r="O34" s="209"/>
      <c r="P34" s="209"/>
    </row>
    <row r="35" spans="1:16" ht="36">
      <c r="A35" s="191" t="s">
        <v>463</v>
      </c>
      <c r="B35" s="88" t="s">
        <v>464</v>
      </c>
      <c r="C35" s="88" t="s">
        <v>134</v>
      </c>
      <c r="D35" s="209">
        <v>20</v>
      </c>
      <c r="E35" s="209">
        <v>20</v>
      </c>
      <c r="F35" s="209">
        <v>20</v>
      </c>
      <c r="G35" s="209">
        <v>20</v>
      </c>
      <c r="I35" s="209">
        <f t="shared" si="10"/>
        <v>20</v>
      </c>
      <c r="J35" s="209">
        <f t="shared" si="11"/>
        <v>20</v>
      </c>
      <c r="K35" s="209">
        <f t="shared" si="9"/>
        <v>20</v>
      </c>
      <c r="L35" s="209">
        <f t="shared" si="9"/>
        <v>20</v>
      </c>
      <c r="M35" s="209"/>
      <c r="N35" s="209"/>
      <c r="O35" s="209"/>
      <c r="P35" s="209"/>
    </row>
    <row r="36" spans="1:16" ht="49.5" customHeight="1">
      <c r="A36" s="191" t="s">
        <v>465</v>
      </c>
      <c r="B36" s="196" t="s">
        <v>466</v>
      </c>
      <c r="C36" s="88" t="s">
        <v>134</v>
      </c>
      <c r="D36" s="209">
        <v>9407.9</v>
      </c>
      <c r="E36" s="209">
        <v>9275</v>
      </c>
      <c r="F36" s="209">
        <v>9275</v>
      </c>
      <c r="G36" s="209">
        <v>9275</v>
      </c>
      <c r="I36" s="209">
        <f t="shared" si="10"/>
        <v>9407.9</v>
      </c>
      <c r="J36" s="209">
        <f t="shared" si="11"/>
        <v>9275</v>
      </c>
      <c r="K36" s="209">
        <f t="shared" si="9"/>
        <v>9275</v>
      </c>
      <c r="L36" s="209">
        <f t="shared" si="9"/>
        <v>9275</v>
      </c>
      <c r="M36" s="209"/>
      <c r="N36" s="209"/>
      <c r="O36" s="209"/>
      <c r="P36" s="209"/>
    </row>
    <row r="37" spans="1:16" ht="41.25" customHeight="1">
      <c r="A37" s="191" t="s">
        <v>467</v>
      </c>
      <c r="B37" s="195" t="s">
        <v>468</v>
      </c>
      <c r="C37" s="195" t="s">
        <v>134</v>
      </c>
      <c r="D37" s="209">
        <v>1989.4</v>
      </c>
      <c r="E37" s="209">
        <v>1989.4</v>
      </c>
      <c r="F37" s="209">
        <v>1989.4</v>
      </c>
      <c r="G37" s="209">
        <v>1989.4</v>
      </c>
      <c r="I37" s="209">
        <f t="shared" si="10"/>
        <v>1989.4</v>
      </c>
      <c r="J37" s="209">
        <f t="shared" si="11"/>
        <v>1989.4</v>
      </c>
      <c r="K37" s="209">
        <f t="shared" si="9"/>
        <v>1989.4</v>
      </c>
      <c r="L37" s="209">
        <f t="shared" si="9"/>
        <v>1989.4</v>
      </c>
      <c r="M37" s="209"/>
      <c r="N37" s="209"/>
      <c r="O37" s="209"/>
      <c r="P37" s="209"/>
    </row>
    <row r="38" spans="1:16" ht="36">
      <c r="A38" s="191" t="s">
        <v>469</v>
      </c>
      <c r="B38" s="105" t="s">
        <v>470</v>
      </c>
      <c r="C38" s="88" t="s">
        <v>134</v>
      </c>
      <c r="D38" s="209">
        <v>170</v>
      </c>
      <c r="E38" s="209">
        <v>290</v>
      </c>
      <c r="F38" s="209">
        <v>290</v>
      </c>
      <c r="G38" s="209">
        <v>290</v>
      </c>
      <c r="I38" s="209">
        <f t="shared" si="10"/>
        <v>170</v>
      </c>
      <c r="J38" s="209">
        <f t="shared" si="11"/>
        <v>290</v>
      </c>
      <c r="K38" s="209">
        <f t="shared" si="9"/>
        <v>290</v>
      </c>
      <c r="L38" s="209">
        <f t="shared" si="9"/>
        <v>290</v>
      </c>
      <c r="M38" s="209"/>
      <c r="N38" s="209"/>
      <c r="O38" s="209"/>
      <c r="P38" s="209"/>
    </row>
    <row r="39" spans="1:16" ht="36">
      <c r="A39" s="191" t="s">
        <v>471</v>
      </c>
      <c r="B39" s="195" t="s">
        <v>472</v>
      </c>
      <c r="C39" s="195" t="s">
        <v>134</v>
      </c>
      <c r="D39" s="209">
        <v>88</v>
      </c>
      <c r="E39" s="209">
        <v>88</v>
      </c>
      <c r="F39" s="209">
        <v>88</v>
      </c>
      <c r="G39" s="209">
        <v>88</v>
      </c>
      <c r="I39" s="209"/>
      <c r="J39" s="209"/>
      <c r="K39" s="209"/>
      <c r="L39" s="209"/>
      <c r="M39" s="209">
        <f aca="true" t="shared" si="12" ref="M39:P42">D39</f>
        <v>88</v>
      </c>
      <c r="N39" s="209">
        <f t="shared" si="12"/>
        <v>88</v>
      </c>
      <c r="O39" s="209">
        <f t="shared" si="12"/>
        <v>88</v>
      </c>
      <c r="P39" s="209">
        <f t="shared" si="12"/>
        <v>88</v>
      </c>
    </row>
    <row r="40" spans="1:16" ht="39.75" customHeight="1">
      <c r="A40" s="191" t="s">
        <v>473</v>
      </c>
      <c r="B40" s="195" t="s">
        <v>474</v>
      </c>
      <c r="C40" s="195" t="s">
        <v>134</v>
      </c>
      <c r="D40" s="209">
        <v>57203.3</v>
      </c>
      <c r="E40" s="209">
        <v>62198.4</v>
      </c>
      <c r="F40" s="209">
        <v>65370</v>
      </c>
      <c r="G40" s="209">
        <v>68703.5</v>
      </c>
      <c r="I40" s="209"/>
      <c r="J40" s="209"/>
      <c r="K40" s="209"/>
      <c r="L40" s="209"/>
      <c r="M40" s="209">
        <f t="shared" si="12"/>
        <v>57203.3</v>
      </c>
      <c r="N40" s="209">
        <f t="shared" si="12"/>
        <v>62198.4</v>
      </c>
      <c r="O40" s="209">
        <f t="shared" si="12"/>
        <v>65370</v>
      </c>
      <c r="P40" s="209">
        <f t="shared" si="12"/>
        <v>68703.5</v>
      </c>
    </row>
    <row r="41" spans="1:16" ht="47.25">
      <c r="A41" s="191" t="s">
        <v>475</v>
      </c>
      <c r="B41" s="195" t="s">
        <v>476</v>
      </c>
      <c r="C41" s="195" t="s">
        <v>134</v>
      </c>
      <c r="D41" s="209">
        <v>72.6</v>
      </c>
      <c r="E41" s="209">
        <v>72.6</v>
      </c>
      <c r="F41" s="209">
        <v>72.6</v>
      </c>
      <c r="G41" s="163">
        <f>D41</f>
        <v>72.6</v>
      </c>
      <c r="I41" s="209"/>
      <c r="J41" s="209"/>
      <c r="K41" s="209"/>
      <c r="L41" s="209"/>
      <c r="M41" s="209">
        <f t="shared" si="12"/>
        <v>72.6</v>
      </c>
      <c r="N41" s="209">
        <f t="shared" si="12"/>
        <v>72.6</v>
      </c>
      <c r="O41" s="209">
        <f t="shared" si="12"/>
        <v>72.6</v>
      </c>
      <c r="P41" s="209">
        <f t="shared" si="12"/>
        <v>72.6</v>
      </c>
    </row>
    <row r="42" spans="1:16" ht="39.75" customHeight="1">
      <c r="A42" s="191" t="s">
        <v>477</v>
      </c>
      <c r="B42" s="195" t="s">
        <v>478</v>
      </c>
      <c r="C42" s="195" t="s">
        <v>134</v>
      </c>
      <c r="D42" s="209">
        <v>38730.4</v>
      </c>
      <c r="E42" s="209">
        <v>45936.8</v>
      </c>
      <c r="F42" s="209">
        <v>47745.3</v>
      </c>
      <c r="G42" s="209">
        <v>49571.3</v>
      </c>
      <c r="I42" s="209"/>
      <c r="J42" s="209"/>
      <c r="K42" s="209"/>
      <c r="L42" s="209"/>
      <c r="M42" s="209">
        <f t="shared" si="12"/>
        <v>38730.4</v>
      </c>
      <c r="N42" s="209">
        <f t="shared" si="12"/>
        <v>45936.8</v>
      </c>
      <c r="O42" s="209">
        <f t="shared" si="12"/>
        <v>47745.3</v>
      </c>
      <c r="P42" s="209">
        <f t="shared" si="12"/>
        <v>49571.3</v>
      </c>
    </row>
    <row r="43" spans="1:16" ht="36">
      <c r="A43" s="191" t="s">
        <v>479</v>
      </c>
      <c r="B43" s="88" t="s">
        <v>480</v>
      </c>
      <c r="C43" s="88" t="s">
        <v>134</v>
      </c>
      <c r="D43" s="209">
        <v>893.2</v>
      </c>
      <c r="E43" s="209">
        <v>893.2</v>
      </c>
      <c r="F43" s="209">
        <v>893.2</v>
      </c>
      <c r="G43" s="209">
        <v>893.2</v>
      </c>
      <c r="I43" s="209">
        <f aca="true" t="shared" si="13" ref="I43:J47">D43</f>
        <v>893.2</v>
      </c>
      <c r="J43" s="209">
        <f t="shared" si="13"/>
        <v>893.2</v>
      </c>
      <c r="K43" s="209">
        <f t="shared" si="9"/>
        <v>893.2</v>
      </c>
      <c r="L43" s="209">
        <f t="shared" si="9"/>
        <v>893.2</v>
      </c>
      <c r="M43" s="209"/>
      <c r="N43" s="209"/>
      <c r="O43" s="209"/>
      <c r="P43" s="209"/>
    </row>
    <row r="44" spans="1:16" ht="58.5">
      <c r="A44" s="191" t="s">
        <v>481</v>
      </c>
      <c r="B44" s="197" t="s">
        <v>482</v>
      </c>
      <c r="C44" s="88" t="s">
        <v>440</v>
      </c>
      <c r="D44" s="198">
        <v>208720.6</v>
      </c>
      <c r="E44" s="228">
        <v>234627.4</v>
      </c>
      <c r="F44" s="228">
        <v>234627.4</v>
      </c>
      <c r="G44" s="228">
        <v>234627.4</v>
      </c>
      <c r="I44" s="209">
        <f t="shared" si="13"/>
        <v>208720.6</v>
      </c>
      <c r="J44" s="209">
        <f t="shared" si="13"/>
        <v>234627.4</v>
      </c>
      <c r="K44" s="209">
        <f t="shared" si="9"/>
        <v>234627.4</v>
      </c>
      <c r="L44" s="209">
        <f t="shared" si="9"/>
        <v>234627.4</v>
      </c>
      <c r="M44" s="209"/>
      <c r="N44" s="209"/>
      <c r="O44" s="209"/>
      <c r="P44" s="209"/>
    </row>
    <row r="45" spans="1:16" ht="24.75">
      <c r="A45" s="191" t="s">
        <v>483</v>
      </c>
      <c r="B45" s="88" t="s">
        <v>484</v>
      </c>
      <c r="C45" s="88" t="s">
        <v>134</v>
      </c>
      <c r="D45" s="209">
        <v>362066.4</v>
      </c>
      <c r="E45" s="209">
        <v>377255.9</v>
      </c>
      <c r="F45" s="209">
        <v>398533.1</v>
      </c>
      <c r="G45" s="163">
        <v>419282.8</v>
      </c>
      <c r="I45" s="209">
        <f t="shared" si="13"/>
        <v>362066.4</v>
      </c>
      <c r="J45" s="209">
        <f t="shared" si="13"/>
        <v>377255.9</v>
      </c>
      <c r="K45" s="209">
        <f t="shared" si="9"/>
        <v>398533.1</v>
      </c>
      <c r="L45" s="209">
        <f t="shared" si="9"/>
        <v>419282.8</v>
      </c>
      <c r="M45" s="209"/>
      <c r="N45" s="209"/>
      <c r="O45" s="209"/>
      <c r="P45" s="209"/>
    </row>
    <row r="46" spans="1:16" ht="58.5">
      <c r="A46" s="191" t="s">
        <v>485</v>
      </c>
      <c r="B46" s="105" t="s">
        <v>486</v>
      </c>
      <c r="C46" s="88" t="s">
        <v>134</v>
      </c>
      <c r="D46" s="209">
        <v>19909.1</v>
      </c>
      <c r="E46" s="209">
        <v>19788.6</v>
      </c>
      <c r="F46" s="209">
        <v>20966.5</v>
      </c>
      <c r="G46" s="163">
        <v>22115.3</v>
      </c>
      <c r="I46" s="209">
        <f t="shared" si="13"/>
        <v>19909.1</v>
      </c>
      <c r="J46" s="209">
        <f t="shared" si="13"/>
        <v>19788.6</v>
      </c>
      <c r="K46" s="209">
        <f t="shared" si="9"/>
        <v>20966.5</v>
      </c>
      <c r="L46" s="209">
        <f t="shared" si="9"/>
        <v>22115.3</v>
      </c>
      <c r="M46" s="209"/>
      <c r="N46" s="209"/>
      <c r="O46" s="209"/>
      <c r="P46" s="209"/>
    </row>
    <row r="47" spans="1:16" ht="58.5">
      <c r="A47" s="191" t="s">
        <v>487</v>
      </c>
      <c r="B47" s="88" t="s">
        <v>488</v>
      </c>
      <c r="C47" s="88" t="s">
        <v>134</v>
      </c>
      <c r="D47" s="209">
        <v>2154.4</v>
      </c>
      <c r="E47" s="209">
        <v>2181.8</v>
      </c>
      <c r="F47" s="209">
        <v>2181.8</v>
      </c>
      <c r="G47" s="209">
        <v>2181.8</v>
      </c>
      <c r="I47" s="209">
        <f t="shared" si="13"/>
        <v>2154.4</v>
      </c>
      <c r="J47" s="209">
        <f t="shared" si="13"/>
        <v>2181.8</v>
      </c>
      <c r="K47" s="209">
        <f t="shared" si="9"/>
        <v>2181.8</v>
      </c>
      <c r="L47" s="209">
        <f t="shared" si="9"/>
        <v>2181.8</v>
      </c>
      <c r="M47" s="209"/>
      <c r="N47" s="209"/>
      <c r="O47" s="209"/>
      <c r="P47" s="209"/>
    </row>
    <row r="48" spans="1:16" ht="24.75">
      <c r="A48" s="191" t="s">
        <v>489</v>
      </c>
      <c r="B48" s="195" t="s">
        <v>490</v>
      </c>
      <c r="C48" s="195" t="s">
        <v>134</v>
      </c>
      <c r="D48" s="209">
        <v>8977.7</v>
      </c>
      <c r="E48" s="209">
        <v>11096.3</v>
      </c>
      <c r="F48" s="209">
        <v>12167</v>
      </c>
      <c r="G48" s="209">
        <v>12911.6</v>
      </c>
      <c r="I48" s="209"/>
      <c r="J48" s="209"/>
      <c r="K48" s="209"/>
      <c r="L48" s="209"/>
      <c r="M48" s="209">
        <f>D48</f>
        <v>8977.7</v>
      </c>
      <c r="N48" s="209">
        <f>E48</f>
        <v>11096.3</v>
      </c>
      <c r="O48" s="209">
        <f>F48</f>
        <v>12167</v>
      </c>
      <c r="P48" s="209">
        <f>G48</f>
        <v>12911.6</v>
      </c>
    </row>
    <row r="49" spans="1:16" ht="36">
      <c r="A49" s="191" t="s">
        <v>491</v>
      </c>
      <c r="B49" s="195" t="s">
        <v>588</v>
      </c>
      <c r="C49" s="195" t="s">
        <v>134</v>
      </c>
      <c r="D49" s="209">
        <v>479</v>
      </c>
      <c r="E49" s="209">
        <v>479</v>
      </c>
      <c r="F49" s="209">
        <v>479</v>
      </c>
      <c r="G49" s="209">
        <v>479</v>
      </c>
      <c r="I49" s="209">
        <f aca="true" t="shared" si="14" ref="I49:J52">D49</f>
        <v>479</v>
      </c>
      <c r="J49" s="209">
        <f t="shared" si="14"/>
        <v>479</v>
      </c>
      <c r="K49" s="209">
        <f t="shared" si="9"/>
        <v>479</v>
      </c>
      <c r="L49" s="209">
        <f t="shared" si="9"/>
        <v>479</v>
      </c>
      <c r="M49" s="209"/>
      <c r="N49" s="209"/>
      <c r="O49" s="209"/>
      <c r="P49" s="209"/>
    </row>
    <row r="50" spans="1:16" ht="47.25">
      <c r="A50" s="191" t="s">
        <v>493</v>
      </c>
      <c r="B50" s="88" t="s">
        <v>589</v>
      </c>
      <c r="C50" s="88" t="s">
        <v>134</v>
      </c>
      <c r="D50" s="209">
        <v>104.451</v>
      </c>
      <c r="E50" s="209">
        <v>0</v>
      </c>
      <c r="F50" s="209">
        <v>0</v>
      </c>
      <c r="G50" s="163">
        <v>0</v>
      </c>
      <c r="I50" s="209"/>
      <c r="J50" s="209"/>
      <c r="K50" s="209"/>
      <c r="L50" s="209"/>
      <c r="M50" s="209"/>
      <c r="N50" s="209"/>
      <c r="O50" s="209"/>
      <c r="P50" s="209"/>
    </row>
    <row r="51" spans="1:16" ht="92.25">
      <c r="A51" s="191" t="s">
        <v>590</v>
      </c>
      <c r="B51" s="194" t="s">
        <v>591</v>
      </c>
      <c r="C51" s="195" t="s">
        <v>134</v>
      </c>
      <c r="D51" s="209">
        <v>0</v>
      </c>
      <c r="E51" s="209">
        <v>475</v>
      </c>
      <c r="F51" s="209">
        <v>475</v>
      </c>
      <c r="G51" s="209">
        <v>475</v>
      </c>
      <c r="I51" s="209">
        <f t="shared" si="14"/>
        <v>0</v>
      </c>
      <c r="J51" s="209">
        <f t="shared" si="14"/>
        <v>475</v>
      </c>
      <c r="K51" s="209">
        <f t="shared" si="9"/>
        <v>475</v>
      </c>
      <c r="L51" s="209">
        <f t="shared" si="9"/>
        <v>475</v>
      </c>
      <c r="M51" s="209"/>
      <c r="N51" s="209"/>
      <c r="O51" s="209"/>
      <c r="P51" s="209"/>
    </row>
    <row r="52" spans="1:16" ht="47.25">
      <c r="A52" s="191" t="s">
        <v>592</v>
      </c>
      <c r="B52" s="195" t="s">
        <v>593</v>
      </c>
      <c r="C52" s="195" t="s">
        <v>134</v>
      </c>
      <c r="D52" s="209">
        <v>0</v>
      </c>
      <c r="E52" s="209">
        <v>200</v>
      </c>
      <c r="F52" s="209">
        <v>200</v>
      </c>
      <c r="G52" s="209">
        <v>200</v>
      </c>
      <c r="I52" s="209">
        <f t="shared" si="14"/>
        <v>0</v>
      </c>
      <c r="J52" s="209">
        <f t="shared" si="14"/>
        <v>200</v>
      </c>
      <c r="K52" s="209">
        <f t="shared" si="9"/>
        <v>200</v>
      </c>
      <c r="L52" s="209">
        <f t="shared" si="9"/>
        <v>200</v>
      </c>
      <c r="M52" s="209"/>
      <c r="N52" s="209"/>
      <c r="O52" s="209"/>
      <c r="P52" s="209"/>
    </row>
    <row r="53" spans="1:16" ht="61.5" customHeight="1">
      <c r="A53" s="191" t="s">
        <v>594</v>
      </c>
      <c r="B53" s="88" t="s">
        <v>595</v>
      </c>
      <c r="C53" s="88" t="s">
        <v>134</v>
      </c>
      <c r="D53" s="209">
        <v>0</v>
      </c>
      <c r="E53" s="209">
        <v>332198</v>
      </c>
      <c r="F53" s="209">
        <v>347223.8</v>
      </c>
      <c r="G53" s="163">
        <v>362650.2</v>
      </c>
      <c r="I53" s="209"/>
      <c r="J53" s="209"/>
      <c r="K53" s="209"/>
      <c r="L53" s="209"/>
      <c r="M53" s="209">
        <f>D53</f>
        <v>0</v>
      </c>
      <c r="N53" s="209">
        <f>E53</f>
        <v>332198</v>
      </c>
      <c r="O53" s="209">
        <f>F53</f>
        <v>347223.8</v>
      </c>
      <c r="P53" s="209">
        <f>G53</f>
        <v>362650.2</v>
      </c>
    </row>
    <row r="54" spans="1:16" ht="12.75" customHeight="1">
      <c r="A54" s="229" t="s">
        <v>596</v>
      </c>
      <c r="B54" s="229"/>
      <c r="C54" s="229"/>
      <c r="D54" s="229"/>
      <c r="E54" s="229"/>
      <c r="F54" s="229"/>
      <c r="G54" s="229"/>
      <c r="I54" s="209"/>
      <c r="J54" s="209"/>
      <c r="K54" s="209"/>
      <c r="L54" s="209"/>
      <c r="M54" s="209"/>
      <c r="N54" s="209"/>
      <c r="O54" s="209"/>
      <c r="P54" s="209"/>
    </row>
    <row r="55" spans="1:16" ht="47.25">
      <c r="A55" s="191" t="s">
        <v>496</v>
      </c>
      <c r="B55" s="105" t="s">
        <v>497</v>
      </c>
      <c r="C55" s="88" t="s">
        <v>134</v>
      </c>
      <c r="D55" s="209">
        <v>47126.6</v>
      </c>
      <c r="E55" s="209">
        <v>40950.6</v>
      </c>
      <c r="F55" s="209">
        <v>40945.1</v>
      </c>
      <c r="G55" s="209">
        <v>40938.7</v>
      </c>
      <c r="H55" s="226"/>
      <c r="I55" s="209"/>
      <c r="J55" s="209"/>
      <c r="K55" s="209"/>
      <c r="L55" s="209"/>
      <c r="M55" s="209">
        <f>D55</f>
        <v>47126.6</v>
      </c>
      <c r="N55" s="209">
        <f>E55</f>
        <v>40950.6</v>
      </c>
      <c r="O55" s="209">
        <f>F55</f>
        <v>40945.1</v>
      </c>
      <c r="P55" s="209">
        <f>G55</f>
        <v>40938.7</v>
      </c>
    </row>
    <row r="56" spans="1:16" ht="78" customHeight="1">
      <c r="A56" s="191" t="s">
        <v>498</v>
      </c>
      <c r="B56" s="88" t="s">
        <v>499</v>
      </c>
      <c r="C56" s="88" t="s">
        <v>500</v>
      </c>
      <c r="D56" s="230">
        <f>90000+52455.5+103662.1</f>
        <v>246117.6</v>
      </c>
      <c r="E56" s="230">
        <f>105900+E57</f>
        <v>144027.2</v>
      </c>
      <c r="F56" s="230">
        <f>110200+F57</f>
        <v>150133.5</v>
      </c>
      <c r="G56" s="230">
        <f>110200+G57</f>
        <v>152130.2</v>
      </c>
      <c r="I56" s="209">
        <f>D56-M57</f>
        <v>193662.1</v>
      </c>
      <c r="J56" s="209">
        <f>E56-N57</f>
        <v>105900.00000000001</v>
      </c>
      <c r="K56" s="209">
        <f>F56-O57</f>
        <v>110200</v>
      </c>
      <c r="L56" s="209">
        <f>G56-P57</f>
        <v>110200.00000000001</v>
      </c>
      <c r="M56" s="209"/>
      <c r="N56" s="209"/>
      <c r="O56" s="209"/>
      <c r="P56" s="209"/>
    </row>
    <row r="57" spans="1:16" ht="78.75" customHeight="1">
      <c r="A57" s="191"/>
      <c r="B57" s="88"/>
      <c r="C57" s="88"/>
      <c r="D57" s="209">
        <f>52455.5</f>
        <v>52455.5</v>
      </c>
      <c r="E57" s="209">
        <v>38127.2</v>
      </c>
      <c r="F57" s="209">
        <v>39933.5</v>
      </c>
      <c r="G57" s="209">
        <v>41930.2</v>
      </c>
      <c r="I57" s="209"/>
      <c r="J57" s="209"/>
      <c r="K57" s="209"/>
      <c r="L57" s="209"/>
      <c r="M57" s="209">
        <f>D57</f>
        <v>52455.5</v>
      </c>
      <c r="N57" s="209">
        <f>E57</f>
        <v>38127.2</v>
      </c>
      <c r="O57" s="209">
        <f>F57</f>
        <v>39933.5</v>
      </c>
      <c r="P57" s="209">
        <f>G57</f>
        <v>41930.2</v>
      </c>
    </row>
    <row r="58" spans="1:16" ht="58.5">
      <c r="A58" s="191" t="s">
        <v>501</v>
      </c>
      <c r="B58" s="231" t="s">
        <v>597</v>
      </c>
      <c r="C58" s="88" t="s">
        <v>134</v>
      </c>
      <c r="D58" s="232">
        <v>0</v>
      </c>
      <c r="E58" s="232">
        <v>100000</v>
      </c>
      <c r="F58" s="232">
        <v>0</v>
      </c>
      <c r="G58" s="232">
        <v>0</v>
      </c>
      <c r="I58" s="209">
        <f aca="true" t="shared" si="15" ref="I58:L59">D58</f>
        <v>0</v>
      </c>
      <c r="J58" s="209">
        <f t="shared" si="15"/>
        <v>100000</v>
      </c>
      <c r="K58" s="209">
        <f t="shared" si="15"/>
        <v>0</v>
      </c>
      <c r="L58" s="209">
        <f t="shared" si="15"/>
        <v>0</v>
      </c>
      <c r="M58" s="209"/>
      <c r="N58" s="209"/>
      <c r="O58" s="209"/>
      <c r="P58" s="209"/>
    </row>
    <row r="59" spans="1:16" ht="47.25">
      <c r="A59" s="200" t="s">
        <v>503</v>
      </c>
      <c r="B59" s="88" t="s">
        <v>598</v>
      </c>
      <c r="C59" s="88" t="s">
        <v>134</v>
      </c>
      <c r="D59" s="209">
        <f>10000+26000</f>
        <v>36000</v>
      </c>
      <c r="E59" s="209">
        <v>0</v>
      </c>
      <c r="F59" s="209">
        <v>0</v>
      </c>
      <c r="G59" s="163">
        <v>0</v>
      </c>
      <c r="I59" s="209">
        <f t="shared" si="15"/>
        <v>36000</v>
      </c>
      <c r="J59" s="209">
        <f t="shared" si="15"/>
        <v>0</v>
      </c>
      <c r="K59" s="209">
        <f t="shared" si="15"/>
        <v>0</v>
      </c>
      <c r="L59" s="209">
        <f t="shared" si="15"/>
        <v>0</v>
      </c>
      <c r="M59" s="209"/>
      <c r="N59" s="209"/>
      <c r="O59" s="209"/>
      <c r="P59" s="209"/>
    </row>
    <row r="60" spans="1:16" ht="81">
      <c r="A60" s="191" t="s">
        <v>599</v>
      </c>
      <c r="B60" s="88" t="s">
        <v>504</v>
      </c>
      <c r="C60" s="88" t="s">
        <v>134</v>
      </c>
      <c r="D60" s="209">
        <f>78624-1336.8+2872.901</f>
        <v>80160.101</v>
      </c>
      <c r="E60" s="209">
        <v>0</v>
      </c>
      <c r="F60" s="209">
        <v>0</v>
      </c>
      <c r="G60" s="209">
        <v>0</v>
      </c>
      <c r="I60" s="209"/>
      <c r="J60" s="209"/>
      <c r="K60" s="209"/>
      <c r="L60" s="209"/>
      <c r="M60" s="209">
        <f>D60</f>
        <v>80160.101</v>
      </c>
      <c r="N60" s="209">
        <f>E60</f>
        <v>0</v>
      </c>
      <c r="O60" s="209">
        <f>F60</f>
        <v>0</v>
      </c>
      <c r="P60" s="209">
        <f>G60</f>
        <v>0</v>
      </c>
    </row>
    <row r="61" spans="1:16" ht="12.75" customHeight="1">
      <c r="A61" s="229" t="s">
        <v>505</v>
      </c>
      <c r="B61" s="229"/>
      <c r="C61" s="229"/>
      <c r="D61" s="229"/>
      <c r="E61" s="229"/>
      <c r="F61" s="229"/>
      <c r="G61" s="229"/>
      <c r="I61" s="209"/>
      <c r="J61" s="209"/>
      <c r="K61" s="209"/>
      <c r="L61" s="209"/>
      <c r="M61" s="209"/>
      <c r="N61" s="209"/>
      <c r="O61" s="209"/>
      <c r="P61" s="209"/>
    </row>
    <row r="62" spans="1:16" ht="36" customHeight="1">
      <c r="A62" s="191" t="s">
        <v>506</v>
      </c>
      <c r="B62" s="88" t="s">
        <v>507</v>
      </c>
      <c r="C62" s="88" t="s">
        <v>134</v>
      </c>
      <c r="D62" s="209">
        <f>31398-50</f>
        <v>31348</v>
      </c>
      <c r="E62" s="209">
        <v>32375.5</v>
      </c>
      <c r="F62" s="209">
        <v>33521.6</v>
      </c>
      <c r="G62" s="163">
        <v>34639.7</v>
      </c>
      <c r="I62" s="209">
        <f>D62</f>
        <v>31348</v>
      </c>
      <c r="J62" s="209">
        <f>E62</f>
        <v>32375.5</v>
      </c>
      <c r="K62" s="209">
        <f t="shared" si="9"/>
        <v>33521.6</v>
      </c>
      <c r="L62" s="209">
        <f t="shared" si="9"/>
        <v>34639.7</v>
      </c>
      <c r="M62" s="209"/>
      <c r="N62" s="209"/>
      <c r="O62" s="209"/>
      <c r="P62" s="209"/>
    </row>
    <row r="63" spans="1:16" ht="195" customHeight="1">
      <c r="A63" s="191" t="s">
        <v>508</v>
      </c>
      <c r="B63" s="105" t="s">
        <v>509</v>
      </c>
      <c r="C63" s="88" t="s">
        <v>134</v>
      </c>
      <c r="D63" s="209">
        <v>52756.7</v>
      </c>
      <c r="E63" s="209">
        <v>54443.7</v>
      </c>
      <c r="F63" s="209">
        <v>57686.4</v>
      </c>
      <c r="G63" s="163">
        <v>60849</v>
      </c>
      <c r="I63" s="209">
        <f>D63</f>
        <v>52756.7</v>
      </c>
      <c r="J63" s="209">
        <f>E63</f>
        <v>54443.7</v>
      </c>
      <c r="K63" s="209">
        <f t="shared" si="9"/>
        <v>57686.4</v>
      </c>
      <c r="L63" s="209">
        <f t="shared" si="9"/>
        <v>60849</v>
      </c>
      <c r="M63" s="209"/>
      <c r="N63" s="209"/>
      <c r="O63" s="209"/>
      <c r="P63" s="209"/>
    </row>
    <row r="64" spans="1:16" ht="26.25" customHeight="1">
      <c r="A64" s="201" t="s">
        <v>510</v>
      </c>
      <c r="B64" s="88" t="s">
        <v>511</v>
      </c>
      <c r="C64" s="88" t="s">
        <v>600</v>
      </c>
      <c r="D64" s="230">
        <f>199842.4+6788</f>
        <v>206630.4</v>
      </c>
      <c r="E64" s="230">
        <v>183262.7</v>
      </c>
      <c r="F64" s="230">
        <v>199176.26</v>
      </c>
      <c r="G64" s="233">
        <v>210096.09</v>
      </c>
      <c r="I64" s="209">
        <f>D64-M65</f>
        <v>199842.4</v>
      </c>
      <c r="J64" s="209">
        <f>E64-N65</f>
        <v>183262.7</v>
      </c>
      <c r="K64" s="209">
        <f>F64-O65</f>
        <v>199176.26</v>
      </c>
      <c r="L64" s="209">
        <f>G64-P65</f>
        <v>210096.09</v>
      </c>
      <c r="M64" s="209"/>
      <c r="N64" s="209"/>
      <c r="O64" s="209"/>
      <c r="P64" s="209"/>
    </row>
    <row r="65" spans="1:16" ht="16.5" customHeight="1">
      <c r="A65" s="201"/>
      <c r="B65" s="88"/>
      <c r="C65" s="88"/>
      <c r="D65" s="234">
        <f>6788</f>
        <v>6788</v>
      </c>
      <c r="E65" s="234">
        <v>0</v>
      </c>
      <c r="F65" s="234">
        <v>0</v>
      </c>
      <c r="G65" s="235">
        <v>0</v>
      </c>
      <c r="I65" s="209"/>
      <c r="J65" s="209"/>
      <c r="K65" s="209"/>
      <c r="L65" s="209"/>
      <c r="M65" s="209">
        <f>D65</f>
        <v>6788</v>
      </c>
      <c r="N65" s="209">
        <f>E65</f>
        <v>0</v>
      </c>
      <c r="O65" s="209">
        <f>F65</f>
        <v>0</v>
      </c>
      <c r="P65" s="209">
        <f>G65</f>
        <v>0</v>
      </c>
    </row>
    <row r="66" spans="1:16" ht="30" customHeight="1">
      <c r="A66" s="201" t="s">
        <v>512</v>
      </c>
      <c r="B66" s="88" t="s">
        <v>513</v>
      </c>
      <c r="C66" s="88" t="s">
        <v>134</v>
      </c>
      <c r="D66" s="209">
        <v>627782.5</v>
      </c>
      <c r="E66" s="209">
        <v>664843.5</v>
      </c>
      <c r="F66" s="209">
        <v>700854.3</v>
      </c>
      <c r="G66" s="163">
        <v>737464.3</v>
      </c>
      <c r="I66" s="209">
        <f>D66</f>
        <v>627782.5</v>
      </c>
      <c r="J66" s="209">
        <f>E66</f>
        <v>664843.5</v>
      </c>
      <c r="K66" s="209">
        <f t="shared" si="9"/>
        <v>700854.3</v>
      </c>
      <c r="L66" s="209">
        <f t="shared" si="9"/>
        <v>737464.3</v>
      </c>
      <c r="M66" s="209"/>
      <c r="N66" s="209"/>
      <c r="O66" s="209"/>
      <c r="P66" s="209"/>
    </row>
    <row r="67" spans="1:16" ht="27" customHeight="1">
      <c r="A67" s="201" t="s">
        <v>514</v>
      </c>
      <c r="B67" s="105" t="s">
        <v>515</v>
      </c>
      <c r="C67" s="88" t="s">
        <v>500</v>
      </c>
      <c r="D67" s="230">
        <f>284059.9+94686.6</f>
        <v>378746.5</v>
      </c>
      <c r="E67" s="230">
        <f>287995.3+91943</f>
        <v>379938.3</v>
      </c>
      <c r="F67" s="230">
        <f>305236+97331.6</f>
        <v>402567.6</v>
      </c>
      <c r="G67" s="233">
        <f>321893+102745.3</f>
        <v>424638.3</v>
      </c>
      <c r="I67" s="209">
        <f>D67-M68</f>
        <v>94686.59999999998</v>
      </c>
      <c r="J67" s="209">
        <f>E67-N68</f>
        <v>91943</v>
      </c>
      <c r="K67" s="209">
        <f>F67-O68</f>
        <v>97331.59999999998</v>
      </c>
      <c r="L67" s="209">
        <f>G67-P68</f>
        <v>102745.29999999999</v>
      </c>
      <c r="M67" s="209"/>
      <c r="N67" s="209"/>
      <c r="O67" s="209"/>
      <c r="P67" s="209"/>
    </row>
    <row r="68" spans="1:16" ht="16.5" customHeight="1">
      <c r="A68" s="201"/>
      <c r="B68" s="105"/>
      <c r="C68" s="88"/>
      <c r="D68" s="232">
        <f>284059.9</f>
        <v>284059.9</v>
      </c>
      <c r="E68" s="232">
        <f>287995.3</f>
        <v>287995.3</v>
      </c>
      <c r="F68" s="232">
        <f>305236</f>
        <v>305236</v>
      </c>
      <c r="G68" s="236">
        <f>321893</f>
        <v>321893</v>
      </c>
      <c r="I68" s="209"/>
      <c r="J68" s="209"/>
      <c r="K68" s="209"/>
      <c r="L68" s="209"/>
      <c r="M68" s="209">
        <f>D68</f>
        <v>284059.9</v>
      </c>
      <c r="N68" s="209">
        <f>E68</f>
        <v>287995.3</v>
      </c>
      <c r="O68" s="209">
        <f>F68</f>
        <v>305236</v>
      </c>
      <c r="P68" s="209">
        <f>G68</f>
        <v>321893</v>
      </c>
    </row>
    <row r="69" spans="1:16" s="204" customFormat="1" ht="45.75" customHeight="1">
      <c r="A69" s="201" t="s">
        <v>516</v>
      </c>
      <c r="B69" s="105" t="s">
        <v>517</v>
      </c>
      <c r="C69" s="88" t="s">
        <v>134</v>
      </c>
      <c r="D69" s="209">
        <v>50</v>
      </c>
      <c r="E69" s="209">
        <v>50</v>
      </c>
      <c r="F69" s="209">
        <v>50</v>
      </c>
      <c r="G69" s="209">
        <v>50</v>
      </c>
      <c r="H69" s="203"/>
      <c r="I69" s="209">
        <f>D69</f>
        <v>50</v>
      </c>
      <c r="J69" s="209">
        <f>E69</f>
        <v>50</v>
      </c>
      <c r="K69" s="209">
        <f t="shared" si="9"/>
        <v>50</v>
      </c>
      <c r="L69" s="209">
        <f t="shared" si="9"/>
        <v>50</v>
      </c>
      <c r="M69" s="209"/>
      <c r="N69" s="209"/>
      <c r="O69" s="209"/>
      <c r="P69" s="209"/>
    </row>
    <row r="70" spans="1:16" s="204" customFormat="1" ht="57" customHeight="1">
      <c r="A70" s="201" t="s">
        <v>518</v>
      </c>
      <c r="B70" s="88" t="s">
        <v>601</v>
      </c>
      <c r="C70" s="88" t="s">
        <v>134</v>
      </c>
      <c r="D70" s="209">
        <v>436.5</v>
      </c>
      <c r="E70" s="209">
        <v>0</v>
      </c>
      <c r="F70" s="209">
        <v>0</v>
      </c>
      <c r="G70" s="209">
        <v>0</v>
      </c>
      <c r="H70" s="203"/>
      <c r="I70" s="209"/>
      <c r="J70" s="209"/>
      <c r="K70" s="209"/>
      <c r="L70" s="209"/>
      <c r="M70" s="209">
        <f>D70</f>
        <v>436.5</v>
      </c>
      <c r="N70" s="209">
        <f>E70</f>
        <v>0</v>
      </c>
      <c r="O70" s="209">
        <f>F70</f>
        <v>0</v>
      </c>
      <c r="P70" s="209">
        <f>G70</f>
        <v>0</v>
      </c>
    </row>
    <row r="71" spans="1:16" ht="26.25" customHeight="1">
      <c r="A71" s="201" t="s">
        <v>602</v>
      </c>
      <c r="B71" s="88" t="s">
        <v>603</v>
      </c>
      <c r="C71" s="88" t="s">
        <v>600</v>
      </c>
      <c r="D71" s="230">
        <v>0</v>
      </c>
      <c r="E71" s="230">
        <f>34816.7+E72</f>
        <v>72991</v>
      </c>
      <c r="F71" s="230">
        <f>60493.4+F72</f>
        <v>107937.6</v>
      </c>
      <c r="G71" s="233">
        <f>88396.2+G72</f>
        <v>145026</v>
      </c>
      <c r="I71" s="209">
        <f>D71-M72</f>
        <v>0</v>
      </c>
      <c r="J71" s="209">
        <f>E71-N72</f>
        <v>34816.7</v>
      </c>
      <c r="K71" s="209">
        <f>F71-O72</f>
        <v>60493.40000000001</v>
      </c>
      <c r="L71" s="209">
        <f>G71-P72</f>
        <v>88396.2</v>
      </c>
      <c r="M71" s="209"/>
      <c r="N71" s="209"/>
      <c r="O71" s="209"/>
      <c r="P71" s="209"/>
    </row>
    <row r="72" spans="1:16" ht="24" customHeight="1">
      <c r="A72" s="201"/>
      <c r="B72" s="88"/>
      <c r="C72" s="88"/>
      <c r="D72" s="232">
        <v>0</v>
      </c>
      <c r="E72" s="232">
        <v>38174.3</v>
      </c>
      <c r="F72" s="232">
        <v>47444.2</v>
      </c>
      <c r="G72" s="236">
        <v>56629.8</v>
      </c>
      <c r="I72" s="209"/>
      <c r="J72" s="209"/>
      <c r="K72" s="209"/>
      <c r="L72" s="209"/>
      <c r="M72" s="209">
        <f>D72</f>
        <v>0</v>
      </c>
      <c r="N72" s="209">
        <f>E72</f>
        <v>38174.3</v>
      </c>
      <c r="O72" s="209">
        <f>F72</f>
        <v>47444.2</v>
      </c>
      <c r="P72" s="209">
        <f>G72</f>
        <v>56629.8</v>
      </c>
    </row>
    <row r="73" spans="1:16" s="204" customFormat="1" ht="12.75" customHeight="1">
      <c r="A73" s="229" t="s">
        <v>41</v>
      </c>
      <c r="B73" s="229"/>
      <c r="C73" s="229"/>
      <c r="D73" s="229"/>
      <c r="E73" s="229"/>
      <c r="F73" s="229"/>
      <c r="G73" s="229"/>
      <c r="H73" s="203"/>
      <c r="I73" s="209"/>
      <c r="J73" s="209"/>
      <c r="K73" s="209"/>
      <c r="L73" s="209"/>
      <c r="M73" s="209"/>
      <c r="N73" s="209"/>
      <c r="O73" s="209"/>
      <c r="P73" s="209"/>
    </row>
    <row r="74" spans="1:16" ht="45" customHeight="1">
      <c r="A74" s="201" t="s">
        <v>520</v>
      </c>
      <c r="B74" s="77" t="s">
        <v>521</v>
      </c>
      <c r="C74" s="77" t="s">
        <v>134</v>
      </c>
      <c r="D74" s="209" t="s">
        <v>415</v>
      </c>
      <c r="E74" s="209" t="s">
        <v>415</v>
      </c>
      <c r="F74" s="209" t="s">
        <v>415</v>
      </c>
      <c r="G74" s="209" t="s">
        <v>415</v>
      </c>
      <c r="I74" s="209"/>
      <c r="J74" s="209"/>
      <c r="K74" s="209"/>
      <c r="L74" s="209"/>
      <c r="M74" s="209"/>
      <c r="N74" s="209"/>
      <c r="O74" s="209"/>
      <c r="P74" s="209"/>
    </row>
    <row r="75" spans="1:16" ht="45" customHeight="1">
      <c r="A75" s="201" t="s">
        <v>522</v>
      </c>
      <c r="B75" s="77" t="s">
        <v>523</v>
      </c>
      <c r="C75" s="77" t="s">
        <v>134</v>
      </c>
      <c r="D75" s="209" t="s">
        <v>415</v>
      </c>
      <c r="E75" s="209" t="s">
        <v>415</v>
      </c>
      <c r="F75" s="209" t="s">
        <v>415</v>
      </c>
      <c r="G75" s="209" t="s">
        <v>415</v>
      </c>
      <c r="I75" s="209"/>
      <c r="J75" s="209"/>
      <c r="K75" s="209"/>
      <c r="L75" s="209"/>
      <c r="M75" s="209"/>
      <c r="N75" s="209"/>
      <c r="O75" s="209"/>
      <c r="P75" s="209"/>
    </row>
    <row r="76" spans="1:16" ht="45.75" customHeight="1">
      <c r="A76" s="201" t="s">
        <v>524</v>
      </c>
      <c r="B76" s="77" t="s">
        <v>525</v>
      </c>
      <c r="C76" s="77" t="s">
        <v>134</v>
      </c>
      <c r="D76" s="209" t="s">
        <v>415</v>
      </c>
      <c r="E76" s="209" t="s">
        <v>415</v>
      </c>
      <c r="F76" s="209" t="s">
        <v>415</v>
      </c>
      <c r="G76" s="209" t="s">
        <v>415</v>
      </c>
      <c r="I76" s="209"/>
      <c r="J76" s="209"/>
      <c r="K76" s="209"/>
      <c r="L76" s="209"/>
      <c r="M76" s="209"/>
      <c r="N76" s="209"/>
      <c r="O76" s="209"/>
      <c r="P76" s="209"/>
    </row>
    <row r="77" spans="1:16" ht="47.25" customHeight="1">
      <c r="A77" s="201" t="s">
        <v>526</v>
      </c>
      <c r="B77" s="77" t="s">
        <v>527</v>
      </c>
      <c r="C77" s="77" t="s">
        <v>134</v>
      </c>
      <c r="D77" s="209" t="s">
        <v>415</v>
      </c>
      <c r="E77" s="209" t="s">
        <v>415</v>
      </c>
      <c r="F77" s="209" t="s">
        <v>415</v>
      </c>
      <c r="G77" s="209" t="s">
        <v>415</v>
      </c>
      <c r="I77" s="209"/>
      <c r="J77" s="209"/>
      <c r="K77" s="209"/>
      <c r="L77" s="209"/>
      <c r="M77" s="209"/>
      <c r="N77" s="209"/>
      <c r="O77" s="209"/>
      <c r="P77" s="209"/>
    </row>
    <row r="78" spans="1:16" ht="26.25" customHeight="1">
      <c r="A78" s="205" t="s">
        <v>528</v>
      </c>
      <c r="B78" s="206" t="s">
        <v>529</v>
      </c>
      <c r="C78" s="207" t="s">
        <v>134</v>
      </c>
      <c r="D78" s="171">
        <f>D89+D90+D92+D94+D96+D97+D102+D105+D106+D108+D109</f>
        <v>2480761.2830800004</v>
      </c>
      <c r="E78" s="171">
        <f>E89+E92+E94+E96+E97+E102+E105+E108+E109</f>
        <v>2524189.3</v>
      </c>
      <c r="F78" s="171">
        <f>F89+F92+F94+F96+F97+F102+F105+F108+F109</f>
        <v>2518932.0999999996</v>
      </c>
      <c r="G78" s="171">
        <f>G89+G92+G94+G96+G97+G102+G105+G108+G109</f>
        <v>2449820.2999999993</v>
      </c>
      <c r="H78" s="187"/>
      <c r="I78" s="171">
        <f>I89+I90+I92+I94+I96+I97+I102+I105+I106+I108+I109</f>
        <v>2476915.18308</v>
      </c>
      <c r="J78" s="171">
        <f>J89+J90+J92+J94+J96+J97+J102+J105+J106+J108+J109</f>
        <v>2523774.8</v>
      </c>
      <c r="K78" s="171">
        <f>K89+K90+K92+K94+K96+K97+K102+K105+K106+K108+K109</f>
        <v>2518496.8</v>
      </c>
      <c r="L78" s="171">
        <f>L89+L90+L92+L94+L96+L97+L102+L105+L106+L108+L109</f>
        <v>2449384.9999999995</v>
      </c>
      <c r="M78" s="171">
        <f>M90+M95+M97+M106</f>
        <v>3846.1000000000004</v>
      </c>
      <c r="N78" s="171">
        <f>N90+N95+N97+N106</f>
        <v>414.5</v>
      </c>
      <c r="O78" s="171">
        <f>O90+O95+O97+O106</f>
        <v>435.3</v>
      </c>
      <c r="P78" s="171">
        <f>P90+P95+P97+P106</f>
        <v>435.3</v>
      </c>
    </row>
    <row r="79" spans="1:16" ht="39">
      <c r="A79" s="205"/>
      <c r="B79" s="206"/>
      <c r="C79" s="207" t="s">
        <v>254</v>
      </c>
      <c r="D79" s="221">
        <f>D85</f>
        <v>10492</v>
      </c>
      <c r="E79" s="221">
        <f>E85</f>
        <v>100000</v>
      </c>
      <c r="F79" s="221">
        <f>F85</f>
        <v>0</v>
      </c>
      <c r="G79" s="221">
        <f>G85</f>
        <v>370296</v>
      </c>
      <c r="I79" s="221">
        <f aca="true" t="shared" si="16" ref="I79:P79">I85</f>
        <v>10492</v>
      </c>
      <c r="J79" s="221">
        <f t="shared" si="16"/>
        <v>100000</v>
      </c>
      <c r="K79" s="221">
        <f t="shared" si="16"/>
        <v>0</v>
      </c>
      <c r="L79" s="221">
        <f t="shared" si="16"/>
        <v>370296</v>
      </c>
      <c r="M79" s="221">
        <f t="shared" si="16"/>
        <v>0</v>
      </c>
      <c r="N79" s="221">
        <f t="shared" si="16"/>
        <v>0</v>
      </c>
      <c r="O79" s="221">
        <f t="shared" si="16"/>
        <v>0</v>
      </c>
      <c r="P79" s="221">
        <f t="shared" si="16"/>
        <v>0</v>
      </c>
    </row>
    <row r="80" spans="1:16" ht="26.25">
      <c r="A80" s="205"/>
      <c r="B80" s="206"/>
      <c r="C80" s="207" t="s">
        <v>582</v>
      </c>
      <c r="D80" s="221">
        <f>D110</f>
        <v>0</v>
      </c>
      <c r="E80" s="221">
        <f>E110</f>
        <v>14496</v>
      </c>
      <c r="F80" s="221">
        <f>F110</f>
        <v>57985</v>
      </c>
      <c r="G80" s="221">
        <f>G110</f>
        <v>57985</v>
      </c>
      <c r="I80" s="221">
        <f aca="true" t="shared" si="17" ref="I80:P80">I110</f>
        <v>0</v>
      </c>
      <c r="J80" s="221">
        <f t="shared" si="17"/>
        <v>14496</v>
      </c>
      <c r="K80" s="221">
        <f t="shared" si="17"/>
        <v>57985</v>
      </c>
      <c r="L80" s="221">
        <f t="shared" si="17"/>
        <v>57985</v>
      </c>
      <c r="M80" s="221">
        <f t="shared" si="17"/>
        <v>0</v>
      </c>
      <c r="N80" s="221">
        <f t="shared" si="17"/>
        <v>0</v>
      </c>
      <c r="O80" s="221">
        <f t="shared" si="17"/>
        <v>0</v>
      </c>
      <c r="P80" s="221">
        <f t="shared" si="17"/>
        <v>0</v>
      </c>
    </row>
    <row r="81" spans="1:16" ht="26.25">
      <c r="A81" s="205"/>
      <c r="B81" s="206"/>
      <c r="C81" s="207" t="s">
        <v>583</v>
      </c>
      <c r="D81" s="221">
        <f>D98</f>
        <v>0</v>
      </c>
      <c r="E81" s="221">
        <f>E98</f>
        <v>0</v>
      </c>
      <c r="F81" s="221">
        <f>F98</f>
        <v>0</v>
      </c>
      <c r="G81" s="221">
        <f>G98</f>
        <v>0</v>
      </c>
      <c r="I81" s="221">
        <f aca="true" t="shared" si="18" ref="I81:P81">I98</f>
        <v>0</v>
      </c>
      <c r="J81" s="221">
        <f t="shared" si="18"/>
        <v>0</v>
      </c>
      <c r="K81" s="221">
        <f t="shared" si="18"/>
        <v>0</v>
      </c>
      <c r="L81" s="221">
        <f t="shared" si="18"/>
        <v>0</v>
      </c>
      <c r="M81" s="221">
        <f t="shared" si="18"/>
        <v>0</v>
      </c>
      <c r="N81" s="221">
        <f t="shared" si="18"/>
        <v>0</v>
      </c>
      <c r="O81" s="221">
        <f t="shared" si="18"/>
        <v>0</v>
      </c>
      <c r="P81" s="221">
        <f t="shared" si="18"/>
        <v>0</v>
      </c>
    </row>
    <row r="82" spans="1:16" ht="26.25">
      <c r="A82" s="205"/>
      <c r="B82" s="206"/>
      <c r="C82" s="207" t="s">
        <v>439</v>
      </c>
      <c r="D82" s="221">
        <f>D100</f>
        <v>0</v>
      </c>
      <c r="E82" s="221">
        <f>E100</f>
        <v>0</v>
      </c>
      <c r="F82" s="221">
        <f>F100</f>
        <v>0</v>
      </c>
      <c r="G82" s="221">
        <f>G100</f>
        <v>0</v>
      </c>
      <c r="I82" s="221">
        <f aca="true" t="shared" si="19" ref="I82:P82">I100</f>
        <v>0</v>
      </c>
      <c r="J82" s="221">
        <f t="shared" si="19"/>
        <v>0</v>
      </c>
      <c r="K82" s="221">
        <f t="shared" si="19"/>
        <v>0</v>
      </c>
      <c r="L82" s="221">
        <f t="shared" si="19"/>
        <v>0</v>
      </c>
      <c r="M82" s="221">
        <f t="shared" si="19"/>
        <v>0</v>
      </c>
      <c r="N82" s="221">
        <f t="shared" si="19"/>
        <v>0</v>
      </c>
      <c r="O82" s="221">
        <f t="shared" si="19"/>
        <v>0</v>
      </c>
      <c r="P82" s="221">
        <f t="shared" si="19"/>
        <v>0</v>
      </c>
    </row>
    <row r="83" spans="1:16" ht="26.25">
      <c r="A83" s="205"/>
      <c r="B83" s="206"/>
      <c r="C83" s="207" t="s">
        <v>440</v>
      </c>
      <c r="D83" s="221">
        <f>D104</f>
        <v>0</v>
      </c>
      <c r="E83" s="221">
        <f>E104</f>
        <v>0</v>
      </c>
      <c r="F83" s="221">
        <f>F104</f>
        <v>0</v>
      </c>
      <c r="G83" s="221">
        <f>G104</f>
        <v>0</v>
      </c>
      <c r="I83" s="221">
        <f aca="true" t="shared" si="20" ref="I83:P83">I104</f>
        <v>0</v>
      </c>
      <c r="J83" s="221">
        <f t="shared" si="20"/>
        <v>0</v>
      </c>
      <c r="K83" s="221">
        <f t="shared" si="20"/>
        <v>0</v>
      </c>
      <c r="L83" s="221">
        <f t="shared" si="20"/>
        <v>0</v>
      </c>
      <c r="M83" s="221">
        <f t="shared" si="20"/>
        <v>0</v>
      </c>
      <c r="N83" s="221">
        <f t="shared" si="20"/>
        <v>0</v>
      </c>
      <c r="O83" s="221">
        <f t="shared" si="20"/>
        <v>0</v>
      </c>
      <c r="P83" s="221">
        <f t="shared" si="20"/>
        <v>0</v>
      </c>
    </row>
    <row r="84" spans="1:16" ht="12.75" customHeight="1">
      <c r="A84" s="229" t="s">
        <v>52</v>
      </c>
      <c r="B84" s="229"/>
      <c r="C84" s="229"/>
      <c r="D84" s="229"/>
      <c r="E84" s="229"/>
      <c r="F84" s="229"/>
      <c r="G84" s="229"/>
      <c r="I84" s="221"/>
      <c r="J84" s="221"/>
      <c r="K84" s="221"/>
      <c r="L84" s="221"/>
      <c r="M84" s="209"/>
      <c r="N84" s="209"/>
      <c r="O84" s="209"/>
      <c r="P84" s="209"/>
    </row>
    <row r="85" spans="1:16" ht="36">
      <c r="A85" s="191" t="s">
        <v>530</v>
      </c>
      <c r="B85" s="194" t="s">
        <v>531</v>
      </c>
      <c r="C85" s="195" t="s">
        <v>254</v>
      </c>
      <c r="D85" s="209">
        <f>220296-209804</f>
        <v>10492</v>
      </c>
      <c r="E85" s="209">
        <v>100000</v>
      </c>
      <c r="F85" s="209">
        <v>0</v>
      </c>
      <c r="G85" s="163">
        <v>370296</v>
      </c>
      <c r="H85" s="226"/>
      <c r="I85" s="209">
        <f>D85</f>
        <v>10492</v>
      </c>
      <c r="J85" s="209">
        <f>E85</f>
        <v>100000</v>
      </c>
      <c r="K85" s="209">
        <f>F85</f>
        <v>0</v>
      </c>
      <c r="L85" s="209">
        <f>G85</f>
        <v>370296</v>
      </c>
      <c r="M85" s="209"/>
      <c r="N85" s="209"/>
      <c r="O85" s="209"/>
      <c r="P85" s="209"/>
    </row>
    <row r="86" spans="1:16" ht="36" customHeight="1">
      <c r="A86" s="191" t="s">
        <v>532</v>
      </c>
      <c r="B86" s="195" t="s">
        <v>533</v>
      </c>
      <c r="C86" s="195" t="s">
        <v>134</v>
      </c>
      <c r="D86" s="209" t="s">
        <v>415</v>
      </c>
      <c r="E86" s="209" t="s">
        <v>415</v>
      </c>
      <c r="F86" s="209" t="s">
        <v>415</v>
      </c>
      <c r="G86" s="209" t="s">
        <v>415</v>
      </c>
      <c r="I86" s="209"/>
      <c r="J86" s="209"/>
      <c r="K86" s="209"/>
      <c r="L86" s="209"/>
      <c r="M86" s="209"/>
      <c r="N86" s="209"/>
      <c r="O86" s="209"/>
      <c r="P86" s="209"/>
    </row>
    <row r="87" spans="1:16" ht="42.75" customHeight="1">
      <c r="A87" s="191" t="s">
        <v>534</v>
      </c>
      <c r="B87" s="77" t="s">
        <v>535</v>
      </c>
      <c r="C87" s="77" t="s">
        <v>134</v>
      </c>
      <c r="D87" s="209" t="s">
        <v>415</v>
      </c>
      <c r="E87" s="209" t="s">
        <v>415</v>
      </c>
      <c r="F87" s="209" t="s">
        <v>415</v>
      </c>
      <c r="G87" s="209" t="s">
        <v>415</v>
      </c>
      <c r="I87" s="209"/>
      <c r="J87" s="209"/>
      <c r="K87" s="209"/>
      <c r="L87" s="209"/>
      <c r="M87" s="209"/>
      <c r="N87" s="209"/>
      <c r="O87" s="209"/>
      <c r="P87" s="209"/>
    </row>
    <row r="88" spans="1:16" ht="12.75" customHeight="1">
      <c r="A88" s="229" t="s">
        <v>72</v>
      </c>
      <c r="B88" s="229"/>
      <c r="C88" s="229"/>
      <c r="D88" s="229"/>
      <c r="E88" s="229"/>
      <c r="F88" s="229"/>
      <c r="G88" s="229"/>
      <c r="I88" s="209"/>
      <c r="J88" s="209"/>
      <c r="K88" s="209"/>
      <c r="L88" s="209"/>
      <c r="M88" s="209"/>
      <c r="N88" s="209"/>
      <c r="O88" s="209"/>
      <c r="P88" s="209"/>
    </row>
    <row r="89" spans="1:16" ht="43.5" customHeight="1">
      <c r="A89" s="191" t="s">
        <v>536</v>
      </c>
      <c r="B89" s="88" t="s">
        <v>537</v>
      </c>
      <c r="C89" s="88" t="s">
        <v>134</v>
      </c>
      <c r="D89" s="209">
        <v>225073.53208</v>
      </c>
      <c r="E89" s="209">
        <v>148140.4</v>
      </c>
      <c r="F89" s="209">
        <v>120924.8</v>
      </c>
      <c r="G89" s="163">
        <v>30924.8</v>
      </c>
      <c r="I89" s="209">
        <f>D89</f>
        <v>225073.53208</v>
      </c>
      <c r="J89" s="209">
        <f>E89</f>
        <v>148140.4</v>
      </c>
      <c r="K89" s="209">
        <f>F89</f>
        <v>120924.8</v>
      </c>
      <c r="L89" s="209">
        <f>G89</f>
        <v>30924.8</v>
      </c>
      <c r="M89" s="209"/>
      <c r="N89" s="209"/>
      <c r="O89" s="209"/>
      <c r="P89" s="209"/>
    </row>
    <row r="90" spans="1:16" ht="30" customHeight="1">
      <c r="A90" s="191" t="s">
        <v>538</v>
      </c>
      <c r="B90" s="77" t="s">
        <v>539</v>
      </c>
      <c r="C90" s="77" t="s">
        <v>134</v>
      </c>
      <c r="D90" s="209">
        <v>2353.9</v>
      </c>
      <c r="E90" s="209">
        <v>0</v>
      </c>
      <c r="F90" s="209">
        <v>0</v>
      </c>
      <c r="G90" s="209">
        <v>0</v>
      </c>
      <c r="I90" s="209"/>
      <c r="J90" s="209"/>
      <c r="K90" s="209"/>
      <c r="L90" s="209"/>
      <c r="M90" s="209">
        <f>D90</f>
        <v>2353.9</v>
      </c>
      <c r="N90" s="209">
        <f>E90</f>
        <v>0</v>
      </c>
      <c r="O90" s="209">
        <f>F90</f>
        <v>0</v>
      </c>
      <c r="P90" s="209">
        <f>G90</f>
        <v>0</v>
      </c>
    </row>
    <row r="91" spans="1:16" ht="12.75" customHeight="1">
      <c r="A91" s="229" t="s">
        <v>81</v>
      </c>
      <c r="B91" s="229"/>
      <c r="C91" s="229"/>
      <c r="D91" s="229"/>
      <c r="E91" s="229"/>
      <c r="F91" s="229"/>
      <c r="G91" s="229"/>
      <c r="I91" s="209"/>
      <c r="J91" s="209"/>
      <c r="K91" s="209"/>
      <c r="L91" s="209"/>
      <c r="M91" s="209"/>
      <c r="N91" s="209"/>
      <c r="O91" s="209"/>
      <c r="P91" s="209"/>
    </row>
    <row r="92" spans="1:16" ht="45" customHeight="1">
      <c r="A92" s="191" t="s">
        <v>540</v>
      </c>
      <c r="B92" s="77" t="s">
        <v>541</v>
      </c>
      <c r="C92" s="77" t="s">
        <v>134</v>
      </c>
      <c r="D92" s="209">
        <v>2197598.751</v>
      </c>
      <c r="E92" s="209">
        <v>2314108</v>
      </c>
      <c r="F92" s="209">
        <v>2332488.3</v>
      </c>
      <c r="G92" s="163">
        <v>2350950.9</v>
      </c>
      <c r="I92" s="209">
        <f>D92</f>
        <v>2197598.751</v>
      </c>
      <c r="J92" s="209">
        <f>E92</f>
        <v>2314108</v>
      </c>
      <c r="K92" s="209">
        <f>F92</f>
        <v>2332488.3</v>
      </c>
      <c r="L92" s="209">
        <f>G92</f>
        <v>2350950.9</v>
      </c>
      <c r="M92" s="209"/>
      <c r="N92" s="209"/>
      <c r="O92" s="209"/>
      <c r="P92" s="209"/>
    </row>
    <row r="93" spans="1:16" ht="30.75" customHeight="1">
      <c r="A93" s="191" t="s">
        <v>542</v>
      </c>
      <c r="B93" s="77" t="s">
        <v>543</v>
      </c>
      <c r="C93" s="77" t="s">
        <v>134</v>
      </c>
      <c r="D93" s="209" t="s">
        <v>415</v>
      </c>
      <c r="E93" s="209" t="s">
        <v>415</v>
      </c>
      <c r="F93" s="209" t="s">
        <v>415</v>
      </c>
      <c r="G93" s="209" t="s">
        <v>415</v>
      </c>
      <c r="I93" s="209"/>
      <c r="J93" s="209"/>
      <c r="K93" s="209"/>
      <c r="L93" s="209"/>
      <c r="M93" s="209"/>
      <c r="N93" s="209"/>
      <c r="O93" s="209"/>
      <c r="P93" s="209"/>
    </row>
    <row r="94" spans="1:16" ht="27" customHeight="1">
      <c r="A94" s="201" t="s">
        <v>544</v>
      </c>
      <c r="B94" s="195" t="s">
        <v>545</v>
      </c>
      <c r="C94" s="195" t="s">
        <v>600</v>
      </c>
      <c r="D94" s="230">
        <f>493.5+27.3</f>
        <v>520.8</v>
      </c>
      <c r="E94" s="230">
        <f>220+27.3</f>
        <v>247.3</v>
      </c>
      <c r="F94" s="230">
        <f>0+27.3</f>
        <v>27.3</v>
      </c>
      <c r="G94" s="230">
        <f>0+27.3</f>
        <v>27.3</v>
      </c>
      <c r="I94" s="209">
        <f>D94-M95</f>
        <v>27.299999999999955</v>
      </c>
      <c r="J94" s="209">
        <f>E94-N95</f>
        <v>247.3</v>
      </c>
      <c r="K94" s="209">
        <f>F94-O95</f>
        <v>27.3</v>
      </c>
      <c r="L94" s="209">
        <f>G94-P95</f>
        <v>27.3</v>
      </c>
      <c r="M94" s="209"/>
      <c r="N94" s="209"/>
      <c r="O94" s="209"/>
      <c r="P94" s="209"/>
    </row>
    <row r="95" spans="1:16" ht="18.75" customHeight="1">
      <c r="A95" s="201"/>
      <c r="B95" s="195"/>
      <c r="C95" s="195"/>
      <c r="D95" s="232">
        <f>493.5</f>
        <v>493.5</v>
      </c>
      <c r="E95" s="232">
        <v>0</v>
      </c>
      <c r="F95" s="232">
        <v>0</v>
      </c>
      <c r="G95" s="232">
        <v>0</v>
      </c>
      <c r="I95" s="209"/>
      <c r="J95" s="209"/>
      <c r="K95" s="209"/>
      <c r="L95" s="209"/>
      <c r="M95" s="209">
        <f>D95</f>
        <v>493.5</v>
      </c>
      <c r="N95" s="209">
        <f>E95</f>
        <v>0</v>
      </c>
      <c r="O95" s="209">
        <f>F95</f>
        <v>0</v>
      </c>
      <c r="P95" s="209">
        <f>G95</f>
        <v>0</v>
      </c>
    </row>
    <row r="96" spans="1:16" ht="36">
      <c r="A96" s="191" t="s">
        <v>546</v>
      </c>
      <c r="B96" s="88" t="s">
        <v>547</v>
      </c>
      <c r="C96" s="88" t="s">
        <v>134</v>
      </c>
      <c r="D96" s="209">
        <v>147.5</v>
      </c>
      <c r="E96" s="209">
        <v>147.5</v>
      </c>
      <c r="F96" s="209">
        <v>147.5</v>
      </c>
      <c r="G96" s="209">
        <v>147.5</v>
      </c>
      <c r="I96" s="209">
        <f>D96</f>
        <v>147.5</v>
      </c>
      <c r="J96" s="209">
        <f>E96</f>
        <v>147.5</v>
      </c>
      <c r="K96" s="209">
        <f>F96</f>
        <v>147.5</v>
      </c>
      <c r="L96" s="209">
        <f>G96</f>
        <v>147.5</v>
      </c>
      <c r="M96" s="209"/>
      <c r="N96" s="209"/>
      <c r="O96" s="209"/>
      <c r="P96" s="209"/>
    </row>
    <row r="97" spans="1:16" ht="84" customHeight="1">
      <c r="A97" s="191" t="s">
        <v>604</v>
      </c>
      <c r="B97" s="237" t="s">
        <v>605</v>
      </c>
      <c r="C97" s="237" t="s">
        <v>134</v>
      </c>
      <c r="D97" s="230">
        <v>0</v>
      </c>
      <c r="E97" s="230">
        <f>414.5</f>
        <v>414.5</v>
      </c>
      <c r="F97" s="230">
        <f>435.3</f>
        <v>435.3</v>
      </c>
      <c r="G97" s="230">
        <f>435.3</f>
        <v>435.3</v>
      </c>
      <c r="I97" s="209"/>
      <c r="J97" s="209"/>
      <c r="K97" s="209"/>
      <c r="L97" s="209"/>
      <c r="M97" s="209">
        <f>D97</f>
        <v>0</v>
      </c>
      <c r="N97" s="209">
        <f>E97</f>
        <v>414.5</v>
      </c>
      <c r="O97" s="209">
        <f>F97</f>
        <v>435.3</v>
      </c>
      <c r="P97" s="209">
        <f>G97</f>
        <v>435.3</v>
      </c>
    </row>
    <row r="98" spans="1:16" ht="26.25" customHeight="1">
      <c r="A98" s="201" t="s">
        <v>606</v>
      </c>
      <c r="B98" s="88" t="s">
        <v>607</v>
      </c>
      <c r="C98" s="88" t="s">
        <v>583</v>
      </c>
      <c r="D98" s="209" t="s">
        <v>415</v>
      </c>
      <c r="E98" s="209" t="s">
        <v>415</v>
      </c>
      <c r="F98" s="209" t="s">
        <v>415</v>
      </c>
      <c r="G98" s="209" t="s">
        <v>415</v>
      </c>
      <c r="I98" s="209"/>
      <c r="J98" s="209"/>
      <c r="K98" s="209"/>
      <c r="L98" s="209"/>
      <c r="M98" s="209"/>
      <c r="N98" s="209"/>
      <c r="O98" s="209"/>
      <c r="P98" s="209"/>
    </row>
    <row r="99" spans="1:16" ht="26.25">
      <c r="A99" s="201"/>
      <c r="B99" s="88"/>
      <c r="C99" s="88" t="s">
        <v>134</v>
      </c>
      <c r="D99" s="209" t="s">
        <v>415</v>
      </c>
      <c r="E99" s="209" t="s">
        <v>415</v>
      </c>
      <c r="F99" s="209" t="s">
        <v>415</v>
      </c>
      <c r="G99" s="209" t="s">
        <v>415</v>
      </c>
      <c r="I99" s="209"/>
      <c r="J99" s="209"/>
      <c r="K99" s="209"/>
      <c r="L99" s="209"/>
      <c r="M99" s="209"/>
      <c r="N99" s="209"/>
      <c r="O99" s="209"/>
      <c r="P99" s="209"/>
    </row>
    <row r="100" spans="1:16" ht="26.25">
      <c r="A100" s="201"/>
      <c r="B100" s="88"/>
      <c r="C100" s="88" t="s">
        <v>439</v>
      </c>
      <c r="D100" s="209" t="s">
        <v>415</v>
      </c>
      <c r="E100" s="209" t="s">
        <v>415</v>
      </c>
      <c r="F100" s="209" t="s">
        <v>415</v>
      </c>
      <c r="G100" s="209" t="s">
        <v>415</v>
      </c>
      <c r="I100" s="209"/>
      <c r="J100" s="209"/>
      <c r="K100" s="209"/>
      <c r="L100" s="209"/>
      <c r="M100" s="209"/>
      <c r="N100" s="209"/>
      <c r="O100" s="209"/>
      <c r="P100" s="209"/>
    </row>
    <row r="101" spans="1:16" ht="12.75" customHeight="1">
      <c r="A101" s="229" t="s">
        <v>305</v>
      </c>
      <c r="B101" s="229"/>
      <c r="C101" s="229"/>
      <c r="D101" s="229"/>
      <c r="E101" s="229"/>
      <c r="F101" s="229"/>
      <c r="G101" s="229"/>
      <c r="I101" s="209"/>
      <c r="J101" s="209"/>
      <c r="K101" s="209"/>
      <c r="L101" s="209"/>
      <c r="M101" s="209"/>
      <c r="N101" s="209"/>
      <c r="O101" s="209"/>
      <c r="P101" s="209"/>
    </row>
    <row r="102" spans="1:16" ht="69.75" customHeight="1">
      <c r="A102" s="191" t="s">
        <v>548</v>
      </c>
      <c r="B102" s="77" t="s">
        <v>549</v>
      </c>
      <c r="C102" s="77" t="s">
        <v>134</v>
      </c>
      <c r="D102" s="198">
        <v>5424.1</v>
      </c>
      <c r="E102" s="209">
        <v>5590.9</v>
      </c>
      <c r="F102" s="209">
        <v>5881.2</v>
      </c>
      <c r="G102" s="163">
        <v>5881.2</v>
      </c>
      <c r="I102" s="209">
        <f>D102</f>
        <v>5424.1</v>
      </c>
      <c r="J102" s="209">
        <f>E102</f>
        <v>5590.9</v>
      </c>
      <c r="K102" s="209">
        <f>F102</f>
        <v>5881.2</v>
      </c>
      <c r="L102" s="209">
        <f>G102</f>
        <v>5881.2</v>
      </c>
      <c r="M102" s="209"/>
      <c r="N102" s="209"/>
      <c r="O102" s="209"/>
      <c r="P102" s="209"/>
    </row>
    <row r="103" spans="1:16" ht="26.25" customHeight="1">
      <c r="A103" s="201" t="s">
        <v>550</v>
      </c>
      <c r="B103" s="77" t="s">
        <v>551</v>
      </c>
      <c r="C103" s="77" t="s">
        <v>134</v>
      </c>
      <c r="D103" s="209" t="s">
        <v>415</v>
      </c>
      <c r="E103" s="209" t="s">
        <v>415</v>
      </c>
      <c r="F103" s="209" t="s">
        <v>415</v>
      </c>
      <c r="G103" s="209" t="s">
        <v>415</v>
      </c>
      <c r="I103" s="209"/>
      <c r="J103" s="209"/>
      <c r="K103" s="209"/>
      <c r="L103" s="209"/>
      <c r="M103" s="209"/>
      <c r="N103" s="209"/>
      <c r="O103" s="209"/>
      <c r="P103" s="209"/>
    </row>
    <row r="104" spans="1:16" ht="26.25">
      <c r="A104" s="201"/>
      <c r="B104" s="77"/>
      <c r="C104" s="77" t="s">
        <v>440</v>
      </c>
      <c r="D104" s="209" t="s">
        <v>415</v>
      </c>
      <c r="E104" s="209" t="s">
        <v>415</v>
      </c>
      <c r="F104" s="209" t="s">
        <v>415</v>
      </c>
      <c r="G104" s="209" t="s">
        <v>415</v>
      </c>
      <c r="I104" s="209"/>
      <c r="J104" s="209"/>
      <c r="K104" s="209"/>
      <c r="L104" s="209"/>
      <c r="M104" s="209"/>
      <c r="N104" s="209"/>
      <c r="O104" s="209"/>
      <c r="P104" s="209"/>
    </row>
    <row r="105" spans="1:16" ht="58.5" customHeight="1">
      <c r="A105" s="191" t="s">
        <v>552</v>
      </c>
      <c r="B105" s="88" t="s">
        <v>608</v>
      </c>
      <c r="C105" s="88" t="s">
        <v>134</v>
      </c>
      <c r="D105" s="209">
        <v>39858.5</v>
      </c>
      <c r="E105" s="209">
        <v>41755.2</v>
      </c>
      <c r="F105" s="209">
        <v>44242.2</v>
      </c>
      <c r="G105" s="163">
        <v>46667.8</v>
      </c>
      <c r="I105" s="209">
        <f>D105</f>
        <v>39858.5</v>
      </c>
      <c r="J105" s="209">
        <f>E105</f>
        <v>41755.2</v>
      </c>
      <c r="K105" s="209">
        <f>F105</f>
        <v>44242.2</v>
      </c>
      <c r="L105" s="209">
        <f>G105</f>
        <v>46667.8</v>
      </c>
      <c r="M105" s="209"/>
      <c r="N105" s="209"/>
      <c r="O105" s="209"/>
      <c r="P105" s="209"/>
    </row>
    <row r="106" spans="1:16" ht="69" customHeight="1">
      <c r="A106" s="191" t="s">
        <v>554</v>
      </c>
      <c r="B106" s="77" t="s">
        <v>555</v>
      </c>
      <c r="C106" s="77" t="s">
        <v>134</v>
      </c>
      <c r="D106" s="209">
        <v>998.7</v>
      </c>
      <c r="E106" s="209">
        <v>0</v>
      </c>
      <c r="F106" s="209">
        <v>0</v>
      </c>
      <c r="G106" s="209">
        <v>0</v>
      </c>
      <c r="I106" s="209"/>
      <c r="J106" s="209"/>
      <c r="K106" s="209"/>
      <c r="L106" s="209"/>
      <c r="M106" s="209">
        <f>D106</f>
        <v>998.7</v>
      </c>
      <c r="N106" s="209">
        <f>E106</f>
        <v>0</v>
      </c>
      <c r="O106" s="209">
        <f>F106</f>
        <v>0</v>
      </c>
      <c r="P106" s="209">
        <f>G106</f>
        <v>0</v>
      </c>
    </row>
    <row r="107" spans="1:16" ht="12.75" customHeight="1">
      <c r="A107" s="229" t="s">
        <v>326</v>
      </c>
      <c r="B107" s="229"/>
      <c r="C107" s="229"/>
      <c r="D107" s="229"/>
      <c r="E107" s="229"/>
      <c r="F107" s="229"/>
      <c r="G107" s="229"/>
      <c r="I107" s="209"/>
      <c r="J107" s="209"/>
      <c r="K107" s="209"/>
      <c r="L107" s="209"/>
      <c r="M107" s="209"/>
      <c r="N107" s="209"/>
      <c r="O107" s="209"/>
      <c r="P107" s="209"/>
    </row>
    <row r="108" spans="1:16" ht="45.75" customHeight="1">
      <c r="A108" s="191" t="s">
        <v>557</v>
      </c>
      <c r="B108" s="88" t="s">
        <v>609</v>
      </c>
      <c r="C108" s="88" t="s">
        <v>134</v>
      </c>
      <c r="D108" s="209">
        <v>8785.5</v>
      </c>
      <c r="E108" s="209">
        <v>8785.5</v>
      </c>
      <c r="F108" s="209">
        <v>8785.5</v>
      </c>
      <c r="G108" s="209">
        <v>8785.5</v>
      </c>
      <c r="I108" s="209">
        <f aca="true" t="shared" si="21" ref="I108:L110">D108</f>
        <v>8785.5</v>
      </c>
      <c r="J108" s="209">
        <f t="shared" si="21"/>
        <v>8785.5</v>
      </c>
      <c r="K108" s="209">
        <f t="shared" si="21"/>
        <v>8785.5</v>
      </c>
      <c r="L108" s="209">
        <f t="shared" si="21"/>
        <v>8785.5</v>
      </c>
      <c r="M108" s="209"/>
      <c r="N108" s="209"/>
      <c r="O108" s="209"/>
      <c r="P108" s="209"/>
    </row>
    <row r="109" spans="1:16" ht="26.25" customHeight="1">
      <c r="A109" s="201" t="s">
        <v>610</v>
      </c>
      <c r="B109" s="88" t="s">
        <v>560</v>
      </c>
      <c r="C109" s="88" t="s">
        <v>134</v>
      </c>
      <c r="D109" s="209">
        <v>0</v>
      </c>
      <c r="E109" s="209">
        <v>5000</v>
      </c>
      <c r="F109" s="209">
        <v>6000</v>
      </c>
      <c r="G109" s="209">
        <v>6000</v>
      </c>
      <c r="I109" s="209">
        <f t="shared" si="21"/>
        <v>0</v>
      </c>
      <c r="J109" s="209">
        <f t="shared" si="21"/>
        <v>5000</v>
      </c>
      <c r="K109" s="209">
        <f t="shared" si="21"/>
        <v>6000</v>
      </c>
      <c r="L109" s="209">
        <f t="shared" si="21"/>
        <v>6000</v>
      </c>
      <c r="M109" s="209"/>
      <c r="N109" s="209"/>
      <c r="O109" s="209"/>
      <c r="P109" s="209"/>
    </row>
    <row r="110" spans="1:16" ht="26.25">
      <c r="A110" s="201"/>
      <c r="B110" s="88"/>
      <c r="C110" s="88" t="s">
        <v>582</v>
      </c>
      <c r="D110" s="209">
        <v>0</v>
      </c>
      <c r="E110" s="209">
        <v>14496</v>
      </c>
      <c r="F110" s="209">
        <v>57985</v>
      </c>
      <c r="G110" s="209">
        <v>57985</v>
      </c>
      <c r="I110" s="209">
        <f t="shared" si="21"/>
        <v>0</v>
      </c>
      <c r="J110" s="209">
        <f t="shared" si="21"/>
        <v>14496</v>
      </c>
      <c r="K110" s="209">
        <f t="shared" si="21"/>
        <v>57985</v>
      </c>
      <c r="L110" s="209">
        <f t="shared" si="21"/>
        <v>57985</v>
      </c>
      <c r="M110" s="209"/>
      <c r="N110" s="209"/>
      <c r="O110" s="209"/>
      <c r="P110" s="209"/>
    </row>
    <row r="111" spans="1:16" ht="24.75">
      <c r="A111" s="205" t="s">
        <v>561</v>
      </c>
      <c r="B111" s="207" t="s">
        <v>562</v>
      </c>
      <c r="C111" s="207" t="s">
        <v>134</v>
      </c>
      <c r="D111" s="221">
        <f>D113+D114+D115+D116</f>
        <v>133144.195</v>
      </c>
      <c r="E111" s="221">
        <f>E113+E114+E115+E116</f>
        <v>131250.21</v>
      </c>
      <c r="F111" s="221">
        <f>F113+F114+F115+F116</f>
        <v>131560.18</v>
      </c>
      <c r="G111" s="221">
        <f>G113+G114+G115+G116</f>
        <v>131865.63</v>
      </c>
      <c r="H111" s="187"/>
      <c r="I111" s="171">
        <f aca="true" t="shared" si="22" ref="I111:P111">SUM(I113:I120)</f>
        <v>6809.6</v>
      </c>
      <c r="J111" s="171">
        <f t="shared" si="22"/>
        <v>6040.799999999999</v>
      </c>
      <c r="K111" s="171">
        <f t="shared" si="22"/>
        <v>6040.799999999999</v>
      </c>
      <c r="L111" s="171">
        <f t="shared" si="22"/>
        <v>6040.799999999999</v>
      </c>
      <c r="M111" s="171">
        <f t="shared" si="22"/>
        <v>0</v>
      </c>
      <c r="N111" s="171">
        <f t="shared" si="22"/>
        <v>0</v>
      </c>
      <c r="O111" s="171">
        <f t="shared" si="22"/>
        <v>0</v>
      </c>
      <c r="P111" s="171">
        <f t="shared" si="22"/>
        <v>0</v>
      </c>
    </row>
    <row r="112" spans="1:16" ht="12.75" customHeight="1">
      <c r="A112" s="229" t="s">
        <v>109</v>
      </c>
      <c r="B112" s="229"/>
      <c r="C112" s="229"/>
      <c r="D112" s="229"/>
      <c r="E112" s="229"/>
      <c r="F112" s="229"/>
      <c r="G112" s="229"/>
      <c r="H112" s="187"/>
      <c r="I112" s="221"/>
      <c r="J112" s="221"/>
      <c r="K112" s="221"/>
      <c r="L112" s="171"/>
      <c r="M112" s="209"/>
      <c r="N112" s="209"/>
      <c r="O112" s="209"/>
      <c r="P112" s="209"/>
    </row>
    <row r="113" spans="1:87" s="213" customFormat="1" ht="67.5" customHeight="1">
      <c r="A113" s="191" t="s">
        <v>563</v>
      </c>
      <c r="B113" s="105" t="s">
        <v>611</v>
      </c>
      <c r="C113" s="88" t="s">
        <v>134</v>
      </c>
      <c r="D113" s="238">
        <f>104733.10815-47.08</f>
        <v>104686.02815</v>
      </c>
      <c r="E113" s="238">
        <v>105313.88</v>
      </c>
      <c r="F113" s="238">
        <v>105565.65</v>
      </c>
      <c r="G113" s="239">
        <v>105813.6</v>
      </c>
      <c r="H113" s="226"/>
      <c r="I113" s="238"/>
      <c r="J113" s="238"/>
      <c r="K113" s="238"/>
      <c r="L113" s="238"/>
      <c r="M113" s="238"/>
      <c r="N113" s="238"/>
      <c r="O113" s="238"/>
      <c r="P113" s="238"/>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BY113" s="172"/>
      <c r="BZ113" s="172"/>
      <c r="CA113" s="172"/>
      <c r="CB113" s="172"/>
      <c r="CC113" s="172"/>
      <c r="CD113" s="172"/>
      <c r="CE113" s="172"/>
      <c r="CF113" s="172"/>
      <c r="CG113" s="172"/>
      <c r="CH113" s="172"/>
      <c r="CI113" s="172"/>
    </row>
    <row r="114" spans="1:87" s="213" customFormat="1" ht="58.5">
      <c r="A114" s="191" t="s">
        <v>565</v>
      </c>
      <c r="B114" s="105" t="s">
        <v>612</v>
      </c>
      <c r="C114" s="88" t="s">
        <v>134</v>
      </c>
      <c r="D114" s="238">
        <f>21688.66685-40.1</f>
        <v>21648.566850000003</v>
      </c>
      <c r="E114" s="238">
        <v>19895.53</v>
      </c>
      <c r="F114" s="238">
        <v>19953.73</v>
      </c>
      <c r="G114" s="239">
        <v>20011.23</v>
      </c>
      <c r="H114" s="240"/>
      <c r="I114" s="238"/>
      <c r="J114" s="238"/>
      <c r="K114" s="238"/>
      <c r="L114" s="238"/>
      <c r="M114" s="238"/>
      <c r="N114" s="238"/>
      <c r="O114" s="238"/>
      <c r="P114" s="238"/>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c r="BY114" s="172"/>
      <c r="BZ114" s="172"/>
      <c r="CA114" s="172"/>
      <c r="CB114" s="172"/>
      <c r="CC114" s="172"/>
      <c r="CD114" s="172"/>
      <c r="CE114" s="172"/>
      <c r="CF114" s="172"/>
      <c r="CG114" s="172"/>
      <c r="CH114" s="172"/>
      <c r="CI114" s="172"/>
    </row>
    <row r="115" spans="1:16" ht="24.75">
      <c r="A115" s="191" t="s">
        <v>567</v>
      </c>
      <c r="B115" s="77" t="s">
        <v>566</v>
      </c>
      <c r="C115" s="77" t="s">
        <v>134</v>
      </c>
      <c r="D115" s="209">
        <v>5724.6</v>
      </c>
      <c r="E115" s="209">
        <v>4975.7</v>
      </c>
      <c r="F115" s="209">
        <v>4975.7</v>
      </c>
      <c r="G115" s="209">
        <v>4975.7</v>
      </c>
      <c r="I115" s="209">
        <f aca="true" t="shared" si="23" ref="I115:L116">D115</f>
        <v>5724.6</v>
      </c>
      <c r="J115" s="209">
        <f t="shared" si="23"/>
        <v>4975.7</v>
      </c>
      <c r="K115" s="209">
        <f t="shared" si="23"/>
        <v>4975.7</v>
      </c>
      <c r="L115" s="209">
        <f t="shared" si="23"/>
        <v>4975.7</v>
      </c>
      <c r="M115" s="209"/>
      <c r="N115" s="209"/>
      <c r="O115" s="209"/>
      <c r="P115" s="209"/>
    </row>
    <row r="116" spans="1:16" ht="24.75">
      <c r="A116" s="191" t="s">
        <v>569</v>
      </c>
      <c r="B116" s="87" t="s">
        <v>568</v>
      </c>
      <c r="C116" s="101" t="s">
        <v>134</v>
      </c>
      <c r="D116" s="241">
        <f>482.7+602.3</f>
        <v>1085</v>
      </c>
      <c r="E116" s="241">
        <f>466.4+598.7</f>
        <v>1065.1</v>
      </c>
      <c r="F116" s="241">
        <f>466.4+598.7</f>
        <v>1065.1</v>
      </c>
      <c r="G116" s="241">
        <f>466.4+598.7</f>
        <v>1065.1</v>
      </c>
      <c r="I116" s="209">
        <f t="shared" si="23"/>
        <v>1085</v>
      </c>
      <c r="J116" s="209">
        <f t="shared" si="23"/>
        <v>1065.1</v>
      </c>
      <c r="K116" s="209">
        <f t="shared" si="23"/>
        <v>1065.1</v>
      </c>
      <c r="L116" s="209">
        <f t="shared" si="23"/>
        <v>1065.1</v>
      </c>
      <c r="M116" s="209"/>
      <c r="N116" s="209"/>
      <c r="O116" s="209"/>
      <c r="P116" s="209"/>
    </row>
    <row r="117" spans="1:16" ht="24.75">
      <c r="A117" s="191" t="s">
        <v>613</v>
      </c>
      <c r="B117" s="77" t="s">
        <v>570</v>
      </c>
      <c r="C117" s="77" t="s">
        <v>134</v>
      </c>
      <c r="D117" s="209" t="s">
        <v>415</v>
      </c>
      <c r="E117" s="209" t="s">
        <v>415</v>
      </c>
      <c r="F117" s="209" t="s">
        <v>415</v>
      </c>
      <c r="G117" s="209" t="s">
        <v>415</v>
      </c>
      <c r="I117" s="209"/>
      <c r="J117" s="209"/>
      <c r="K117" s="209"/>
      <c r="L117" s="209"/>
      <c r="M117" s="209"/>
      <c r="N117" s="209"/>
      <c r="O117" s="209"/>
      <c r="P117" s="209"/>
    </row>
    <row r="118" spans="1:16" ht="12.75" customHeight="1">
      <c r="A118" s="229" t="s">
        <v>112</v>
      </c>
      <c r="B118" s="229"/>
      <c r="C118" s="229"/>
      <c r="D118" s="229"/>
      <c r="E118" s="229"/>
      <c r="F118" s="229"/>
      <c r="G118" s="229"/>
      <c r="I118" s="209"/>
      <c r="J118" s="209"/>
      <c r="K118" s="209"/>
      <c r="L118" s="209"/>
      <c r="M118" s="209"/>
      <c r="N118" s="209"/>
      <c r="O118" s="209"/>
      <c r="P118" s="209"/>
    </row>
    <row r="119" spans="1:16" ht="24.75">
      <c r="A119" s="191" t="s">
        <v>571</v>
      </c>
      <c r="B119" s="77" t="s">
        <v>572</v>
      </c>
      <c r="C119" s="77" t="s">
        <v>134</v>
      </c>
      <c r="D119" s="209" t="s">
        <v>415</v>
      </c>
      <c r="E119" s="209" t="s">
        <v>415</v>
      </c>
      <c r="F119" s="209" t="s">
        <v>415</v>
      </c>
      <c r="G119" s="209" t="s">
        <v>415</v>
      </c>
      <c r="I119" s="209"/>
      <c r="J119" s="209"/>
      <c r="K119" s="209"/>
      <c r="L119" s="209"/>
      <c r="M119" s="209"/>
      <c r="N119" s="209"/>
      <c r="O119" s="209"/>
      <c r="P119" s="209"/>
    </row>
    <row r="120" spans="1:16" ht="36">
      <c r="A120" s="191" t="s">
        <v>573</v>
      </c>
      <c r="B120" s="77" t="s">
        <v>574</v>
      </c>
      <c r="C120" s="77" t="s">
        <v>134</v>
      </c>
      <c r="D120" s="209" t="s">
        <v>415</v>
      </c>
      <c r="E120" s="209" t="s">
        <v>415</v>
      </c>
      <c r="F120" s="209" t="s">
        <v>415</v>
      </c>
      <c r="G120" s="209" t="s">
        <v>415</v>
      </c>
      <c r="I120" s="209"/>
      <c r="J120" s="209"/>
      <c r="K120" s="209"/>
      <c r="L120" s="209"/>
      <c r="M120" s="209"/>
      <c r="N120" s="209"/>
      <c r="O120" s="209"/>
      <c r="P120" s="209"/>
    </row>
  </sheetData>
  <sheetProtection selectLockedCells="1" selectUnlockedCells="1"/>
  <mergeCells count="52">
    <mergeCell ref="F1:G1"/>
    <mergeCell ref="D2:G2"/>
    <mergeCell ref="D3:G3"/>
    <mergeCell ref="E4:G4"/>
    <mergeCell ref="C5:G5"/>
    <mergeCell ref="E6:G6"/>
    <mergeCell ref="E7:G7"/>
    <mergeCell ref="A8:G8"/>
    <mergeCell ref="A10:A11"/>
    <mergeCell ref="B10:B11"/>
    <mergeCell ref="C10:C11"/>
    <mergeCell ref="D10:G10"/>
    <mergeCell ref="A13:A19"/>
    <mergeCell ref="B13:B19"/>
    <mergeCell ref="A20:A22"/>
    <mergeCell ref="B20:B22"/>
    <mergeCell ref="A23:G23"/>
    <mergeCell ref="A24:A25"/>
    <mergeCell ref="B24:B25"/>
    <mergeCell ref="A54:G54"/>
    <mergeCell ref="A56:A57"/>
    <mergeCell ref="B56:B57"/>
    <mergeCell ref="C56:C57"/>
    <mergeCell ref="A61:G61"/>
    <mergeCell ref="A64:A65"/>
    <mergeCell ref="B64:B65"/>
    <mergeCell ref="C64:C65"/>
    <mergeCell ref="A67:A68"/>
    <mergeCell ref="B67:B68"/>
    <mergeCell ref="C67:C68"/>
    <mergeCell ref="A71:A72"/>
    <mergeCell ref="B71:B72"/>
    <mergeCell ref="C71:C72"/>
    <mergeCell ref="A73:G73"/>
    <mergeCell ref="A78:A83"/>
    <mergeCell ref="B78:B83"/>
    <mergeCell ref="A84:G84"/>
    <mergeCell ref="A88:G88"/>
    <mergeCell ref="A91:G91"/>
    <mergeCell ref="A94:A95"/>
    <mergeCell ref="B94:B95"/>
    <mergeCell ref="C94:C95"/>
    <mergeCell ref="A98:A100"/>
    <mergeCell ref="B98:B100"/>
    <mergeCell ref="A101:G101"/>
    <mergeCell ref="A103:A104"/>
    <mergeCell ref="B103:B104"/>
    <mergeCell ref="A107:G107"/>
    <mergeCell ref="A109:A110"/>
    <mergeCell ref="B109:B110"/>
    <mergeCell ref="A112:G112"/>
    <mergeCell ref="A118:G118"/>
  </mergeCells>
  <printOptions/>
  <pageMargins left="0.5902777777777778" right="0.39375" top="0.39375" bottom="0.39375" header="0.5118055555555555" footer="0.5118055555555555"/>
  <pageSetup fitToHeight="27" fitToWidth="1" horizontalDpi="300" verticalDpi="300" orientation="portrait" paperSize="9"/>
  <rowBreaks count="4" manualBreakCount="4">
    <brk id="30" max="255" man="1"/>
    <brk id="46" max="255" man="1"/>
    <brk id="66" max="255" man="1"/>
    <brk id="110" max="255" man="1"/>
  </rowBreaks>
</worksheet>
</file>

<file path=xl/worksheets/sheet8.xml><?xml version="1.0" encoding="utf-8"?>
<worksheet xmlns="http://schemas.openxmlformats.org/spreadsheetml/2006/main" xmlns:r="http://schemas.openxmlformats.org/officeDocument/2006/relationships">
  <sheetPr>
    <tabColor indexed="30"/>
    <pageSetUpPr fitToPage="1"/>
  </sheetPr>
  <dimension ref="A1:K469"/>
  <sheetViews>
    <sheetView zoomScaleSheetLayoutView="80" workbookViewId="0" topLeftCell="A253">
      <selection activeCell="B428" sqref="B428"/>
    </sheetView>
  </sheetViews>
  <sheetFormatPr defaultColWidth="9.00390625" defaultRowHeight="12.75"/>
  <cols>
    <col min="1" max="1" width="17.00390625" style="172" customWidth="1"/>
    <col min="2" max="2" width="60.50390625" style="172" customWidth="1"/>
    <col min="3" max="3" width="50.875" style="172" customWidth="1"/>
    <col min="4" max="5" width="16.50390625" style="172" customWidth="1"/>
    <col min="6" max="6" width="16.50390625" style="240" customWidth="1"/>
    <col min="7" max="9" width="14.125" style="242" customWidth="1"/>
    <col min="10" max="10" width="9.125" style="172" customWidth="1"/>
    <col min="11" max="11" width="13.125" style="172" customWidth="1"/>
    <col min="12" max="16384" width="9.125" style="172" customWidth="1"/>
  </cols>
  <sheetData>
    <row r="1" spans="1:9" s="245" customFormat="1" ht="15">
      <c r="A1" s="174"/>
      <c r="B1" s="243"/>
      <c r="C1" s="58"/>
      <c r="D1" s="132"/>
      <c r="E1" s="132"/>
      <c r="F1" s="132"/>
      <c r="G1" s="244"/>
      <c r="H1" s="244"/>
      <c r="I1" s="244"/>
    </row>
    <row r="2" spans="1:9" s="245" customFormat="1" ht="15" customHeight="1">
      <c r="A2" s="174"/>
      <c r="B2" s="243"/>
      <c r="C2" s="58"/>
      <c r="D2" s="59" t="s">
        <v>614</v>
      </c>
      <c r="E2" s="59"/>
      <c r="F2" s="59"/>
      <c r="G2" s="244"/>
      <c r="H2" s="244"/>
      <c r="I2" s="244"/>
    </row>
    <row r="3" spans="1:9" s="245" customFormat="1" ht="47.25" customHeight="1">
      <c r="A3" s="218" t="s">
        <v>615</v>
      </c>
      <c r="B3" s="218"/>
      <c r="C3" s="218"/>
      <c r="D3" s="218"/>
      <c r="E3" s="218"/>
      <c r="F3" s="218"/>
      <c r="G3" s="244"/>
      <c r="H3" s="244"/>
      <c r="I3" s="244"/>
    </row>
    <row r="4" spans="1:9" s="245" customFormat="1" ht="31.5" customHeight="1">
      <c r="A4" s="246"/>
      <c r="B4" s="246"/>
      <c r="C4" s="246"/>
      <c r="D4" s="247"/>
      <c r="E4" s="247"/>
      <c r="F4" s="247"/>
      <c r="G4" s="244"/>
      <c r="H4" s="244"/>
      <c r="I4" s="244"/>
    </row>
    <row r="5" spans="1:6" ht="37.5" customHeight="1">
      <c r="A5" s="248" t="s">
        <v>432</v>
      </c>
      <c r="B5" s="249" t="s">
        <v>581</v>
      </c>
      <c r="C5" s="249" t="s">
        <v>616</v>
      </c>
      <c r="D5" s="250" t="s">
        <v>617</v>
      </c>
      <c r="E5" s="250"/>
      <c r="F5" s="250"/>
    </row>
    <row r="6" spans="1:6" ht="25.5" customHeight="1">
      <c r="A6" s="248"/>
      <c r="B6" s="249"/>
      <c r="C6" s="249"/>
      <c r="D6" s="250">
        <v>2013</v>
      </c>
      <c r="E6" s="250">
        <v>2014</v>
      </c>
      <c r="F6" s="251">
        <v>2015</v>
      </c>
    </row>
    <row r="7" spans="1:10" ht="12.75">
      <c r="A7" s="248">
        <v>1</v>
      </c>
      <c r="B7" s="248">
        <v>2</v>
      </c>
      <c r="C7" s="248">
        <v>3</v>
      </c>
      <c r="D7" s="252">
        <v>5</v>
      </c>
      <c r="E7" s="252">
        <v>6</v>
      </c>
      <c r="F7" s="251">
        <v>7</v>
      </c>
      <c r="G7" s="242">
        <f>'Таблица 6'!D8</f>
        <v>8960854.217970002</v>
      </c>
      <c r="H7" s="242">
        <f>'Таблица 6'!E8</f>
        <v>9379371.957259998</v>
      </c>
      <c r="I7" s="242">
        <f>'Таблица 6'!F8</f>
        <v>9918785.100359999</v>
      </c>
      <c r="J7" s="172" t="s">
        <v>618</v>
      </c>
    </row>
    <row r="8" spans="1:9" ht="12.75" customHeight="1">
      <c r="A8" s="253" t="s">
        <v>436</v>
      </c>
      <c r="B8" s="254" t="s">
        <v>437</v>
      </c>
      <c r="C8" s="255" t="s">
        <v>619</v>
      </c>
      <c r="D8" s="256">
        <f>D9+D11+D12+D13+D14</f>
        <v>8960854.217970002</v>
      </c>
      <c r="E8" s="256">
        <f>E9+E11+E12+E13+E14</f>
        <v>9379371.95726</v>
      </c>
      <c r="F8" s="256">
        <f>F9+F11+F12+F13+F14</f>
        <v>9918785.100359999</v>
      </c>
      <c r="G8" s="242">
        <f>G7-D8</f>
        <v>0</v>
      </c>
      <c r="H8" s="242">
        <f>H7-E8</f>
        <v>0</v>
      </c>
      <c r="I8" s="242">
        <f>I7-F8</f>
        <v>0</v>
      </c>
    </row>
    <row r="9" spans="1:10" ht="12.75">
      <c r="A9" s="253"/>
      <c r="B9" s="254"/>
      <c r="C9" s="255" t="s">
        <v>620</v>
      </c>
      <c r="D9" s="256">
        <f aca="true" t="shared" si="0" ref="D9:F14">D16+D310+D422</f>
        <v>8960854.217970002</v>
      </c>
      <c r="E9" s="256">
        <f t="shared" si="0"/>
        <v>9379371.95726</v>
      </c>
      <c r="F9" s="256">
        <f t="shared" si="0"/>
        <v>9918785.100359999</v>
      </c>
      <c r="G9" s="242">
        <f>'Таблица 6'!K8</f>
        <v>1298731.952</v>
      </c>
      <c r="H9" s="242">
        <f>'Таблица 6'!L8</f>
        <v>1363491.7</v>
      </c>
      <c r="I9" s="242">
        <f>'Таблица 6'!M8</f>
        <v>1440584.5999999999</v>
      </c>
      <c r="J9" s="172" t="s">
        <v>621</v>
      </c>
    </row>
    <row r="10" spans="1:9" ht="23.25" customHeight="1">
      <c r="A10" s="253"/>
      <c r="B10" s="254"/>
      <c r="C10" s="257" t="s">
        <v>622</v>
      </c>
      <c r="D10" s="256">
        <f t="shared" si="0"/>
        <v>1298731.952</v>
      </c>
      <c r="E10" s="256">
        <f t="shared" si="0"/>
        <v>1363491.7</v>
      </c>
      <c r="F10" s="256">
        <f t="shared" si="0"/>
        <v>1440584.5999999999</v>
      </c>
      <c r="G10" s="242">
        <f>G9-D10</f>
        <v>0</v>
      </c>
      <c r="H10" s="242">
        <f>H9-E10</f>
        <v>0</v>
      </c>
      <c r="I10" s="242">
        <f>I9-F10</f>
        <v>0</v>
      </c>
    </row>
    <row r="11" spans="1:6" ht="13.5">
      <c r="A11" s="253"/>
      <c r="B11" s="254"/>
      <c r="C11" s="255" t="s">
        <v>623</v>
      </c>
      <c r="D11" s="256">
        <f t="shared" si="0"/>
        <v>0</v>
      </c>
      <c r="E11" s="256">
        <f t="shared" si="0"/>
        <v>0</v>
      </c>
      <c r="F11" s="256">
        <f t="shared" si="0"/>
        <v>0</v>
      </c>
    </row>
    <row r="12" spans="1:6" ht="12.75">
      <c r="A12" s="253"/>
      <c r="B12" s="254"/>
      <c r="C12" s="255" t="s">
        <v>624</v>
      </c>
      <c r="D12" s="256">
        <f t="shared" si="0"/>
        <v>0</v>
      </c>
      <c r="E12" s="256">
        <f t="shared" si="0"/>
        <v>0</v>
      </c>
      <c r="F12" s="256">
        <f t="shared" si="0"/>
        <v>0</v>
      </c>
    </row>
    <row r="13" spans="1:6" ht="12.75">
      <c r="A13" s="253"/>
      <c r="B13" s="254"/>
      <c r="C13" s="255" t="s">
        <v>625</v>
      </c>
      <c r="D13" s="256">
        <f t="shared" si="0"/>
        <v>0</v>
      </c>
      <c r="E13" s="256">
        <f t="shared" si="0"/>
        <v>0</v>
      </c>
      <c r="F13" s="256">
        <f t="shared" si="0"/>
        <v>0</v>
      </c>
    </row>
    <row r="14" spans="1:6" ht="12.75">
      <c r="A14" s="253"/>
      <c r="B14" s="254"/>
      <c r="C14" s="255" t="s">
        <v>626</v>
      </c>
      <c r="D14" s="256">
        <f t="shared" si="0"/>
        <v>0</v>
      </c>
      <c r="E14" s="256">
        <f t="shared" si="0"/>
        <v>0</v>
      </c>
      <c r="F14" s="256">
        <f t="shared" si="0"/>
        <v>0</v>
      </c>
    </row>
    <row r="15" spans="1:6" ht="12.75" customHeight="1">
      <c r="A15" s="258" t="s">
        <v>441</v>
      </c>
      <c r="B15" s="254" t="s">
        <v>442</v>
      </c>
      <c r="C15" s="255" t="s">
        <v>619</v>
      </c>
      <c r="D15" s="256">
        <f>D16+D18+D19+D20+D21</f>
        <v>6336456.739890002</v>
      </c>
      <c r="E15" s="256">
        <f>E16+E18+E19+E20+E21</f>
        <v>6954766.157260001</v>
      </c>
      <c r="F15" s="256">
        <f>F16+F18+F19+F20+F21</f>
        <v>7468679.30036</v>
      </c>
    </row>
    <row r="16" spans="1:6" ht="12.75" customHeight="1">
      <c r="A16" s="258"/>
      <c r="B16" s="254"/>
      <c r="C16" s="255" t="s">
        <v>620</v>
      </c>
      <c r="D16" s="256">
        <f aca="true" t="shared" si="1" ref="D16:F21">D23+D30+D37+D44+D51+D58+D65+D72+D79+D86+D93+D100+D107+D114+D121+D128+D135+D142+D149+D156+D163+D170+D177+D184+D191+D198+D205+D212+D219+D226+D233+D240+D247+D254+D261+D268+D275+D282+D289+D296+D303</f>
        <v>6336456.739890002</v>
      </c>
      <c r="E16" s="256">
        <f t="shared" si="1"/>
        <v>6954766.157260001</v>
      </c>
      <c r="F16" s="256">
        <f t="shared" si="1"/>
        <v>7468679.30036</v>
      </c>
    </row>
    <row r="17" spans="1:6" ht="25.5" customHeight="1">
      <c r="A17" s="258"/>
      <c r="B17" s="254"/>
      <c r="C17" s="257" t="s">
        <v>622</v>
      </c>
      <c r="D17" s="256">
        <f t="shared" si="1"/>
        <v>1294885.852</v>
      </c>
      <c r="E17" s="256">
        <f t="shared" si="1"/>
        <v>1363077.2</v>
      </c>
      <c r="F17" s="256">
        <f t="shared" si="1"/>
        <v>1440149.2999999998</v>
      </c>
    </row>
    <row r="18" spans="1:6" ht="12.75" customHeight="1">
      <c r="A18" s="258"/>
      <c r="B18" s="254"/>
      <c r="C18" s="255" t="s">
        <v>627</v>
      </c>
      <c r="D18" s="256">
        <f t="shared" si="1"/>
        <v>0</v>
      </c>
      <c r="E18" s="256">
        <f t="shared" si="1"/>
        <v>0</v>
      </c>
      <c r="F18" s="256">
        <f t="shared" si="1"/>
        <v>0</v>
      </c>
    </row>
    <row r="19" spans="1:6" ht="12.75" customHeight="1">
      <c r="A19" s="258"/>
      <c r="B19" s="254"/>
      <c r="C19" s="255" t="s">
        <v>624</v>
      </c>
      <c r="D19" s="256">
        <f t="shared" si="1"/>
        <v>0</v>
      </c>
      <c r="E19" s="256">
        <f t="shared" si="1"/>
        <v>0</v>
      </c>
      <c r="F19" s="256">
        <f t="shared" si="1"/>
        <v>0</v>
      </c>
    </row>
    <row r="20" spans="1:6" ht="12.75" customHeight="1">
      <c r="A20" s="258"/>
      <c r="B20" s="254"/>
      <c r="C20" s="255" t="s">
        <v>625</v>
      </c>
      <c r="D20" s="256">
        <f t="shared" si="1"/>
        <v>0</v>
      </c>
      <c r="E20" s="256">
        <f t="shared" si="1"/>
        <v>0</v>
      </c>
      <c r="F20" s="256">
        <f t="shared" si="1"/>
        <v>0</v>
      </c>
    </row>
    <row r="21" spans="1:6" ht="12.75">
      <c r="A21" s="258"/>
      <c r="B21" s="254"/>
      <c r="C21" s="255" t="s">
        <v>626</v>
      </c>
      <c r="D21" s="256">
        <f t="shared" si="1"/>
        <v>0</v>
      </c>
      <c r="E21" s="256">
        <f t="shared" si="1"/>
        <v>0</v>
      </c>
      <c r="F21" s="256">
        <f t="shared" si="1"/>
        <v>0</v>
      </c>
    </row>
    <row r="22" spans="1:6" ht="12.75" customHeight="1">
      <c r="A22" s="191" t="s">
        <v>628</v>
      </c>
      <c r="B22" s="87" t="s">
        <v>444</v>
      </c>
      <c r="C22" s="259" t="s">
        <v>619</v>
      </c>
      <c r="D22" s="241">
        <f>D23+D25+D26+D27</f>
        <v>2683495.6038900004</v>
      </c>
      <c r="E22" s="241">
        <f>E23+E25+E26+E27</f>
        <v>2962833.89182</v>
      </c>
      <c r="F22" s="241">
        <f>F23+F25+F26+F27</f>
        <v>3225286.81098</v>
      </c>
    </row>
    <row r="23" spans="1:6" ht="12.75">
      <c r="A23" s="191"/>
      <c r="B23" s="87"/>
      <c r="C23" s="259" t="s">
        <v>620</v>
      </c>
      <c r="D23" s="241">
        <f>'Таблица 6'!D17+'Таблица 6'!D18</f>
        <v>2683495.6038900004</v>
      </c>
      <c r="E23" s="241">
        <f>'Таблица 6'!E17+'Таблица 6'!E18</f>
        <v>2962833.89182</v>
      </c>
      <c r="F23" s="241">
        <f>'Таблица 6'!F17+'Таблица 6'!F18</f>
        <v>3225286.81098</v>
      </c>
    </row>
    <row r="24" spans="1:6" ht="24.75" customHeight="1">
      <c r="A24" s="191"/>
      <c r="B24" s="87"/>
      <c r="C24" s="260" t="s">
        <v>622</v>
      </c>
      <c r="D24" s="241"/>
      <c r="E24" s="241"/>
      <c r="F24" s="239"/>
    </row>
    <row r="25" spans="1:6" ht="12.75">
      <c r="A25" s="191"/>
      <c r="B25" s="87"/>
      <c r="C25" s="259" t="s">
        <v>627</v>
      </c>
      <c r="D25" s="241"/>
      <c r="E25" s="241"/>
      <c r="F25" s="239"/>
    </row>
    <row r="26" spans="1:6" ht="12.75">
      <c r="A26" s="191"/>
      <c r="B26" s="87"/>
      <c r="C26" s="259" t="s">
        <v>624</v>
      </c>
      <c r="D26" s="241"/>
      <c r="E26" s="241"/>
      <c r="F26" s="239"/>
    </row>
    <row r="27" spans="1:6" ht="12.75">
      <c r="A27" s="191"/>
      <c r="B27" s="87"/>
      <c r="C27" s="259" t="s">
        <v>625</v>
      </c>
      <c r="D27" s="241"/>
      <c r="E27" s="241"/>
      <c r="F27" s="239"/>
    </row>
    <row r="28" spans="1:6" ht="12.75">
      <c r="A28" s="191"/>
      <c r="B28" s="87"/>
      <c r="C28" s="259" t="s">
        <v>626</v>
      </c>
      <c r="D28" s="241"/>
      <c r="E28" s="241"/>
      <c r="F28" s="241"/>
    </row>
    <row r="29" spans="1:6" ht="12.75" customHeight="1">
      <c r="A29" s="191" t="s">
        <v>629</v>
      </c>
      <c r="B29" s="194" t="s">
        <v>446</v>
      </c>
      <c r="C29" s="259" t="s">
        <v>619</v>
      </c>
      <c r="D29" s="241">
        <f>D30+D32+D33+D34</f>
        <v>718682.8</v>
      </c>
      <c r="E29" s="241">
        <f>E30+E32+E33+E34</f>
        <v>860542.6</v>
      </c>
      <c r="F29" s="241">
        <f>F30+F32+F33+F34</f>
        <v>920417.2</v>
      </c>
    </row>
    <row r="30" spans="1:6" ht="12.75">
      <c r="A30" s="191"/>
      <c r="B30" s="194"/>
      <c r="C30" s="259" t="s">
        <v>620</v>
      </c>
      <c r="D30" s="241">
        <f>'Таблица 6'!D19</f>
        <v>718682.8</v>
      </c>
      <c r="E30" s="241">
        <f>'Таблица 6'!E19</f>
        <v>860542.6</v>
      </c>
      <c r="F30" s="241">
        <f>'Таблица 6'!F19</f>
        <v>920417.2</v>
      </c>
    </row>
    <row r="31" spans="1:6" ht="28.5" customHeight="1">
      <c r="A31" s="191"/>
      <c r="B31" s="194"/>
      <c r="C31" s="260" t="s">
        <v>622</v>
      </c>
      <c r="D31" s="241">
        <f>'Таблица 6'!D19</f>
        <v>718682.8</v>
      </c>
      <c r="E31" s="241">
        <f>'Таблица 6'!E19</f>
        <v>860542.6</v>
      </c>
      <c r="F31" s="241">
        <f>'Таблица 6'!F19</f>
        <v>920417.2</v>
      </c>
    </row>
    <row r="32" spans="1:6" ht="12.75">
      <c r="A32" s="191"/>
      <c r="B32" s="194"/>
      <c r="C32" s="259" t="s">
        <v>627</v>
      </c>
      <c r="D32" s="241"/>
      <c r="E32" s="241"/>
      <c r="F32" s="241"/>
    </row>
    <row r="33" spans="1:6" ht="12.75">
      <c r="A33" s="191"/>
      <c r="B33" s="194"/>
      <c r="C33" s="259" t="s">
        <v>624</v>
      </c>
      <c r="D33" s="241"/>
      <c r="E33" s="241"/>
      <c r="F33" s="241"/>
    </row>
    <row r="34" spans="1:6" ht="12.75">
      <c r="A34" s="191"/>
      <c r="B34" s="194"/>
      <c r="C34" s="259" t="s">
        <v>625</v>
      </c>
      <c r="D34" s="241"/>
      <c r="E34" s="241"/>
      <c r="F34" s="241"/>
    </row>
    <row r="35" spans="1:6" ht="12.75">
      <c r="A35" s="191"/>
      <c r="B35" s="194"/>
      <c r="C35" s="259" t="s">
        <v>626</v>
      </c>
      <c r="D35" s="241"/>
      <c r="E35" s="241"/>
      <c r="F35" s="241"/>
    </row>
    <row r="36" spans="1:6" ht="12.75" customHeight="1">
      <c r="A36" s="191" t="s">
        <v>630</v>
      </c>
      <c r="B36" s="194" t="s">
        <v>584</v>
      </c>
      <c r="C36" s="259" t="s">
        <v>619</v>
      </c>
      <c r="D36" s="241">
        <f>D37+D39+D40+D41</f>
        <v>175244.2</v>
      </c>
      <c r="E36" s="241">
        <f>E37+E39+E40+E41</f>
        <v>161876.7</v>
      </c>
      <c r="F36" s="241">
        <f>F37+F39+F40+F41</f>
        <v>161876.7</v>
      </c>
    </row>
    <row r="37" spans="1:6" ht="12.75">
      <c r="A37" s="191"/>
      <c r="B37" s="194"/>
      <c r="C37" s="259" t="s">
        <v>620</v>
      </c>
      <c r="D37" s="241">
        <f>'Таблица 6'!D20</f>
        <v>175244.2</v>
      </c>
      <c r="E37" s="241">
        <f>'Таблица 6'!E20</f>
        <v>161876.7</v>
      </c>
      <c r="F37" s="241">
        <f>'Таблица 6'!F20</f>
        <v>161876.7</v>
      </c>
    </row>
    <row r="38" spans="1:6" ht="27" customHeight="1">
      <c r="A38" s="191"/>
      <c r="B38" s="194"/>
      <c r="C38" s="260" t="s">
        <v>622</v>
      </c>
      <c r="D38" s="241"/>
      <c r="E38" s="241"/>
      <c r="F38" s="241"/>
    </row>
    <row r="39" spans="1:6" ht="12.75">
      <c r="A39" s="191"/>
      <c r="B39" s="194"/>
      <c r="C39" s="259" t="s">
        <v>627</v>
      </c>
      <c r="D39" s="241"/>
      <c r="E39" s="241"/>
      <c r="F39" s="241"/>
    </row>
    <row r="40" spans="1:6" ht="12.75">
      <c r="A40" s="191"/>
      <c r="B40" s="194"/>
      <c r="C40" s="259" t="s">
        <v>624</v>
      </c>
      <c r="D40" s="241"/>
      <c r="E40" s="241"/>
      <c r="F40" s="241"/>
    </row>
    <row r="41" spans="1:6" ht="12.75">
      <c r="A41" s="191"/>
      <c r="B41" s="194"/>
      <c r="C41" s="259" t="s">
        <v>625</v>
      </c>
      <c r="D41" s="241"/>
      <c r="E41" s="241"/>
      <c r="F41" s="241"/>
    </row>
    <row r="42" spans="1:6" ht="12.75">
      <c r="A42" s="191"/>
      <c r="B42" s="194"/>
      <c r="C42" s="259" t="s">
        <v>626</v>
      </c>
      <c r="D42" s="241"/>
      <c r="E42" s="241"/>
      <c r="F42" s="241"/>
    </row>
    <row r="43" spans="1:6" ht="12.75" customHeight="1">
      <c r="A43" s="191" t="s">
        <v>631</v>
      </c>
      <c r="B43" s="194" t="s">
        <v>585</v>
      </c>
      <c r="C43" s="259" t="s">
        <v>619</v>
      </c>
      <c r="D43" s="241">
        <f>D44+D46+D47+D48</f>
        <v>177034.96</v>
      </c>
      <c r="E43" s="241">
        <f>E44+E46+E47+E48</f>
        <v>185650.9</v>
      </c>
      <c r="F43" s="241">
        <f>F44+F46+F47+F48</f>
        <v>185650.9</v>
      </c>
    </row>
    <row r="44" spans="1:6" ht="12.75">
      <c r="A44" s="191"/>
      <c r="B44" s="194"/>
      <c r="C44" s="259" t="s">
        <v>620</v>
      </c>
      <c r="D44" s="241">
        <f>'Таблица 6'!D21</f>
        <v>177034.96</v>
      </c>
      <c r="E44" s="241">
        <f>'Таблица 6'!E21</f>
        <v>185650.9</v>
      </c>
      <c r="F44" s="241">
        <f>'Таблица 6'!F21</f>
        <v>185650.9</v>
      </c>
    </row>
    <row r="45" spans="1:6" ht="25.5" customHeight="1">
      <c r="A45" s="191"/>
      <c r="B45" s="194"/>
      <c r="C45" s="260" t="s">
        <v>622</v>
      </c>
      <c r="D45" s="241"/>
      <c r="E45" s="241"/>
      <c r="F45" s="241"/>
    </row>
    <row r="46" spans="1:6" ht="12.75">
      <c r="A46" s="191"/>
      <c r="B46" s="194"/>
      <c r="C46" s="259" t="s">
        <v>627</v>
      </c>
      <c r="D46" s="241"/>
      <c r="E46" s="241"/>
      <c r="F46" s="241"/>
    </row>
    <row r="47" spans="1:6" ht="12.75">
      <c r="A47" s="191"/>
      <c r="B47" s="194"/>
      <c r="C47" s="259" t="s">
        <v>624</v>
      </c>
      <c r="D47" s="241"/>
      <c r="E47" s="241"/>
      <c r="F47" s="241"/>
    </row>
    <row r="48" spans="1:6" ht="12.75">
      <c r="A48" s="191"/>
      <c r="B48" s="194"/>
      <c r="C48" s="259" t="s">
        <v>625</v>
      </c>
      <c r="D48" s="241"/>
      <c r="E48" s="241"/>
      <c r="F48" s="241"/>
    </row>
    <row r="49" spans="1:6" ht="12.75">
      <c r="A49" s="191"/>
      <c r="B49" s="194"/>
      <c r="C49" s="259" t="s">
        <v>626</v>
      </c>
      <c r="D49" s="241"/>
      <c r="E49" s="241"/>
      <c r="F49" s="241"/>
    </row>
    <row r="50" spans="1:6" ht="12.75" customHeight="1">
      <c r="A50" s="191" t="s">
        <v>632</v>
      </c>
      <c r="B50" s="87" t="s">
        <v>452</v>
      </c>
      <c r="C50" s="259" t="s">
        <v>619</v>
      </c>
      <c r="D50" s="241">
        <f>D51+D53+D54+D55</f>
        <v>9134.024</v>
      </c>
      <c r="E50" s="241">
        <f>E51+E53+E54+E55</f>
        <v>10742.06544</v>
      </c>
      <c r="F50" s="241">
        <f>F51+F53+F54+F55</f>
        <v>11386.58938</v>
      </c>
    </row>
    <row r="51" spans="1:6" ht="12.75">
      <c r="A51" s="191"/>
      <c r="B51" s="87"/>
      <c r="C51" s="259" t="s">
        <v>620</v>
      </c>
      <c r="D51" s="241">
        <f>'Таблица 6'!D22</f>
        <v>9134.024</v>
      </c>
      <c r="E51" s="241">
        <f>'Таблица 6'!E22</f>
        <v>10742.06544</v>
      </c>
      <c r="F51" s="241">
        <f>'Таблица 6'!F22</f>
        <v>11386.58938</v>
      </c>
    </row>
    <row r="52" spans="1:6" ht="24.75" customHeight="1">
      <c r="A52" s="191"/>
      <c r="B52" s="87"/>
      <c r="C52" s="260" t="s">
        <v>622</v>
      </c>
      <c r="D52" s="241"/>
      <c r="E52" s="241"/>
      <c r="F52" s="241"/>
    </row>
    <row r="53" spans="1:6" ht="12.75">
      <c r="A53" s="191"/>
      <c r="B53" s="87"/>
      <c r="C53" s="259" t="s">
        <v>627</v>
      </c>
      <c r="D53" s="241"/>
      <c r="E53" s="241"/>
      <c r="F53" s="241"/>
    </row>
    <row r="54" spans="1:6" ht="12.75">
      <c r="A54" s="191"/>
      <c r="B54" s="87"/>
      <c r="C54" s="259" t="s">
        <v>624</v>
      </c>
      <c r="D54" s="241"/>
      <c r="E54" s="241"/>
      <c r="F54" s="241"/>
    </row>
    <row r="55" spans="1:6" ht="12.75">
      <c r="A55" s="191"/>
      <c r="B55" s="87"/>
      <c r="C55" s="259" t="s">
        <v>625</v>
      </c>
      <c r="D55" s="241"/>
      <c r="E55" s="241"/>
      <c r="F55" s="241"/>
    </row>
    <row r="56" spans="1:6" ht="12.75">
      <c r="A56" s="191"/>
      <c r="B56" s="87"/>
      <c r="C56" s="259" t="s">
        <v>626</v>
      </c>
      <c r="D56" s="241"/>
      <c r="E56" s="241"/>
      <c r="F56" s="241"/>
    </row>
    <row r="57" spans="1:6" ht="12.75" customHeight="1">
      <c r="A57" s="191" t="s">
        <v>633</v>
      </c>
      <c r="B57" s="87" t="s">
        <v>634</v>
      </c>
      <c r="C57" s="259" t="s">
        <v>619</v>
      </c>
      <c r="D57" s="241">
        <f>D58+D60+D61+D62</f>
        <v>49365.3</v>
      </c>
      <c r="E57" s="241">
        <f>E58+E60+E61+E62</f>
        <v>55357.5</v>
      </c>
      <c r="F57" s="241">
        <f>F58+F60+F61+F62</f>
        <v>58226.4</v>
      </c>
    </row>
    <row r="58" spans="1:6" ht="12.75">
      <c r="A58" s="191"/>
      <c r="B58" s="87"/>
      <c r="C58" s="259" t="s">
        <v>620</v>
      </c>
      <c r="D58" s="241">
        <f>'Таблица 6'!D23</f>
        <v>49365.3</v>
      </c>
      <c r="E58" s="241">
        <f>'Таблица 6'!E23</f>
        <v>55357.5</v>
      </c>
      <c r="F58" s="241">
        <f>'Таблица 6'!F23</f>
        <v>58226.4</v>
      </c>
    </row>
    <row r="59" spans="1:6" ht="24" customHeight="1">
      <c r="A59" s="191"/>
      <c r="B59" s="87"/>
      <c r="C59" s="260" t="s">
        <v>622</v>
      </c>
      <c r="D59" s="241"/>
      <c r="E59" s="241"/>
      <c r="F59" s="241"/>
    </row>
    <row r="60" spans="1:6" ht="12.75">
      <c r="A60" s="191"/>
      <c r="B60" s="87"/>
      <c r="C60" s="259" t="s">
        <v>627</v>
      </c>
      <c r="D60" s="241"/>
      <c r="E60" s="241"/>
      <c r="F60" s="241"/>
    </row>
    <row r="61" spans="1:6" ht="12.75">
      <c r="A61" s="191"/>
      <c r="B61" s="87"/>
      <c r="C61" s="259" t="s">
        <v>624</v>
      </c>
      <c r="D61" s="241"/>
      <c r="E61" s="241"/>
      <c r="F61" s="241"/>
    </row>
    <row r="62" spans="1:6" ht="12.75">
      <c r="A62" s="191"/>
      <c r="B62" s="87"/>
      <c r="C62" s="259" t="s">
        <v>625</v>
      </c>
      <c r="D62" s="241"/>
      <c r="E62" s="241"/>
      <c r="F62" s="241"/>
    </row>
    <row r="63" spans="1:6" ht="12.75">
      <c r="A63" s="191"/>
      <c r="B63" s="87"/>
      <c r="C63" s="259" t="s">
        <v>626</v>
      </c>
      <c r="D63" s="241"/>
      <c r="E63" s="241"/>
      <c r="F63" s="241"/>
    </row>
    <row r="64" spans="1:6" ht="12.75" customHeight="1">
      <c r="A64" s="191" t="s">
        <v>635</v>
      </c>
      <c r="B64" s="87" t="s">
        <v>456</v>
      </c>
      <c r="C64" s="259" t="s">
        <v>619</v>
      </c>
      <c r="D64" s="241">
        <f>D65+D67+D68+D69</f>
        <v>87700</v>
      </c>
      <c r="E64" s="241">
        <f>E65+E67+E68+E69</f>
        <v>50000</v>
      </c>
      <c r="F64" s="241">
        <f>F65+F67+F68+F69</f>
        <v>50000</v>
      </c>
    </row>
    <row r="65" spans="1:6" ht="12.75">
      <c r="A65" s="191"/>
      <c r="B65" s="87"/>
      <c r="C65" s="259" t="s">
        <v>620</v>
      </c>
      <c r="D65" s="241">
        <f>'Таблица 6'!D24</f>
        <v>87700</v>
      </c>
      <c r="E65" s="241">
        <f>'Таблица 6'!E24</f>
        <v>50000</v>
      </c>
      <c r="F65" s="241">
        <f>'Таблица 6'!F24</f>
        <v>50000</v>
      </c>
    </row>
    <row r="66" spans="1:6" ht="24" customHeight="1">
      <c r="A66" s="191"/>
      <c r="B66" s="87"/>
      <c r="C66" s="260" t="s">
        <v>622</v>
      </c>
      <c r="D66" s="241"/>
      <c r="E66" s="241"/>
      <c r="F66" s="241"/>
    </row>
    <row r="67" spans="1:6" ht="12.75">
      <c r="A67" s="191"/>
      <c r="B67" s="87"/>
      <c r="C67" s="259" t="s">
        <v>627</v>
      </c>
      <c r="D67" s="241"/>
      <c r="E67" s="241"/>
      <c r="F67" s="241"/>
    </row>
    <row r="68" spans="1:6" ht="12.75">
      <c r="A68" s="191"/>
      <c r="B68" s="87"/>
      <c r="C68" s="259" t="s">
        <v>624</v>
      </c>
      <c r="D68" s="241"/>
      <c r="E68" s="241"/>
      <c r="F68" s="241"/>
    </row>
    <row r="69" spans="1:6" ht="12.75">
      <c r="A69" s="191"/>
      <c r="B69" s="87"/>
      <c r="C69" s="259" t="s">
        <v>625</v>
      </c>
      <c r="D69" s="241"/>
      <c r="E69" s="241"/>
      <c r="F69" s="241"/>
    </row>
    <row r="70" spans="1:6" ht="12.75">
      <c r="A70" s="191"/>
      <c r="B70" s="87"/>
      <c r="C70" s="259" t="s">
        <v>626</v>
      </c>
      <c r="D70" s="241"/>
      <c r="E70" s="241"/>
      <c r="F70" s="241"/>
    </row>
    <row r="71" spans="1:6" ht="12.75" customHeight="1">
      <c r="A71" s="191" t="s">
        <v>636</v>
      </c>
      <c r="B71" s="87" t="s">
        <v>458</v>
      </c>
      <c r="C71" s="259" t="s">
        <v>619</v>
      </c>
      <c r="D71" s="241">
        <f>D72+D74+D75+D76</f>
        <v>11916.6</v>
      </c>
      <c r="E71" s="241">
        <f>E72+E74+E75+E76</f>
        <v>9030</v>
      </c>
      <c r="F71" s="241">
        <f>F72+F74+F75+F76</f>
        <v>9030</v>
      </c>
    </row>
    <row r="72" spans="1:6" ht="12.75">
      <c r="A72" s="191"/>
      <c r="B72" s="87"/>
      <c r="C72" s="259" t="s">
        <v>620</v>
      </c>
      <c r="D72" s="241">
        <f>'Таблица 6'!D25</f>
        <v>11916.6</v>
      </c>
      <c r="E72" s="241">
        <f>'Таблица 6'!E25</f>
        <v>9030</v>
      </c>
      <c r="F72" s="241">
        <f>'Таблица 6'!F25</f>
        <v>9030</v>
      </c>
    </row>
    <row r="73" spans="1:6" ht="27.75" customHeight="1">
      <c r="A73" s="191"/>
      <c r="B73" s="87"/>
      <c r="C73" s="260" t="s">
        <v>622</v>
      </c>
      <c r="D73" s="241"/>
      <c r="E73" s="241"/>
      <c r="F73" s="241"/>
    </row>
    <row r="74" spans="1:6" ht="12.75">
      <c r="A74" s="191"/>
      <c r="B74" s="87"/>
      <c r="C74" s="259" t="s">
        <v>627</v>
      </c>
      <c r="D74" s="241"/>
      <c r="E74" s="241"/>
      <c r="F74" s="241"/>
    </row>
    <row r="75" spans="1:6" ht="12.75">
      <c r="A75" s="191"/>
      <c r="B75" s="87"/>
      <c r="C75" s="259" t="s">
        <v>624</v>
      </c>
      <c r="D75" s="241"/>
      <c r="E75" s="241"/>
      <c r="F75" s="241"/>
    </row>
    <row r="76" spans="1:6" ht="12.75">
      <c r="A76" s="191"/>
      <c r="B76" s="87"/>
      <c r="C76" s="259" t="s">
        <v>625</v>
      </c>
      <c r="D76" s="241"/>
      <c r="E76" s="241"/>
      <c r="F76" s="241"/>
    </row>
    <row r="77" spans="1:6" ht="12.75">
      <c r="A77" s="191"/>
      <c r="B77" s="87"/>
      <c r="C77" s="259" t="s">
        <v>626</v>
      </c>
      <c r="D77" s="241"/>
      <c r="E77" s="241"/>
      <c r="F77" s="241"/>
    </row>
    <row r="78" spans="1:6" ht="12.75" customHeight="1">
      <c r="A78" s="191" t="s">
        <v>637</v>
      </c>
      <c r="B78" s="87" t="s">
        <v>587</v>
      </c>
      <c r="C78" s="259" t="s">
        <v>619</v>
      </c>
      <c r="D78" s="241">
        <f>D79+D81+D82+D83</f>
        <v>5240.7</v>
      </c>
      <c r="E78" s="241">
        <f>E79+E81+E82+E83</f>
        <v>5240.7</v>
      </c>
      <c r="F78" s="241">
        <f>F79+F81+F82+F83</f>
        <v>5240.7</v>
      </c>
    </row>
    <row r="79" spans="1:6" ht="12.75">
      <c r="A79" s="191"/>
      <c r="B79" s="87"/>
      <c r="C79" s="259" t="s">
        <v>620</v>
      </c>
      <c r="D79" s="241">
        <f>'Таблица 6'!D26</f>
        <v>5240.7</v>
      </c>
      <c r="E79" s="241">
        <f>'Таблица 6'!E26</f>
        <v>5240.7</v>
      </c>
      <c r="F79" s="241">
        <f>'Таблица 6'!F26</f>
        <v>5240.7</v>
      </c>
    </row>
    <row r="80" spans="1:6" ht="25.5" customHeight="1">
      <c r="A80" s="191"/>
      <c r="B80" s="87"/>
      <c r="C80" s="260" t="s">
        <v>622</v>
      </c>
      <c r="D80" s="241"/>
      <c r="E80" s="241"/>
      <c r="F80" s="241"/>
    </row>
    <row r="81" spans="1:6" ht="12.75">
      <c r="A81" s="191"/>
      <c r="B81" s="87"/>
      <c r="C81" s="259" t="s">
        <v>627</v>
      </c>
      <c r="D81" s="241"/>
      <c r="E81" s="241"/>
      <c r="F81" s="241"/>
    </row>
    <row r="82" spans="1:6" ht="12.75">
      <c r="A82" s="191"/>
      <c r="B82" s="87"/>
      <c r="C82" s="259" t="s">
        <v>624</v>
      </c>
      <c r="D82" s="241"/>
      <c r="E82" s="241"/>
      <c r="F82" s="241"/>
    </row>
    <row r="83" spans="1:6" ht="12.75">
      <c r="A83" s="191"/>
      <c r="B83" s="87"/>
      <c r="C83" s="259" t="s">
        <v>625</v>
      </c>
      <c r="D83" s="241"/>
      <c r="E83" s="241"/>
      <c r="F83" s="241"/>
    </row>
    <row r="84" spans="1:6" ht="12.75">
      <c r="A84" s="191"/>
      <c r="B84" s="87"/>
      <c r="C84" s="259" t="s">
        <v>626</v>
      </c>
      <c r="D84" s="241"/>
      <c r="E84" s="241"/>
      <c r="F84" s="241"/>
    </row>
    <row r="85" spans="1:6" ht="12.75" customHeight="1">
      <c r="A85" s="191" t="s">
        <v>638</v>
      </c>
      <c r="B85" s="87" t="s">
        <v>462</v>
      </c>
      <c r="C85" s="259" t="s">
        <v>619</v>
      </c>
      <c r="D85" s="241">
        <f>D86+D88+D89+D90</f>
        <v>501.2</v>
      </c>
      <c r="E85" s="241">
        <f>E86+E88+E89+E90</f>
        <v>501.2</v>
      </c>
      <c r="F85" s="241">
        <f>F86+F88+F89+F90</f>
        <v>501.2</v>
      </c>
    </row>
    <row r="86" spans="1:6" ht="12.75">
      <c r="A86" s="191"/>
      <c r="B86" s="87"/>
      <c r="C86" s="259" t="s">
        <v>620</v>
      </c>
      <c r="D86" s="241">
        <f>'Таблица 6'!D27</f>
        <v>501.2</v>
      </c>
      <c r="E86" s="241">
        <f>'Таблица 6'!E27</f>
        <v>501.2</v>
      </c>
      <c r="F86" s="241">
        <f>'Таблица 6'!F27</f>
        <v>501.2</v>
      </c>
    </row>
    <row r="87" spans="1:6" ht="25.5" customHeight="1">
      <c r="A87" s="191"/>
      <c r="B87" s="87"/>
      <c r="C87" s="260" t="s">
        <v>622</v>
      </c>
      <c r="D87" s="241"/>
      <c r="E87" s="241"/>
      <c r="F87" s="241"/>
    </row>
    <row r="88" spans="1:6" ht="12.75">
      <c r="A88" s="191"/>
      <c r="B88" s="87"/>
      <c r="C88" s="259" t="s">
        <v>627</v>
      </c>
      <c r="D88" s="241"/>
      <c r="E88" s="241"/>
      <c r="F88" s="241"/>
    </row>
    <row r="89" spans="1:6" ht="12.75">
      <c r="A89" s="191"/>
      <c r="B89" s="87"/>
      <c r="C89" s="259" t="s">
        <v>624</v>
      </c>
      <c r="D89" s="241"/>
      <c r="E89" s="241"/>
      <c r="F89" s="241"/>
    </row>
    <row r="90" spans="1:6" ht="12.75">
      <c r="A90" s="191"/>
      <c r="B90" s="87"/>
      <c r="C90" s="259" t="s">
        <v>625</v>
      </c>
      <c r="D90" s="241"/>
      <c r="E90" s="241"/>
      <c r="F90" s="241"/>
    </row>
    <row r="91" spans="1:6" ht="12.75">
      <c r="A91" s="191"/>
      <c r="B91" s="87"/>
      <c r="C91" s="259" t="s">
        <v>626</v>
      </c>
      <c r="D91" s="241"/>
      <c r="E91" s="241"/>
      <c r="F91" s="241"/>
    </row>
    <row r="92" spans="1:6" ht="12.75" customHeight="1">
      <c r="A92" s="191" t="s">
        <v>639</v>
      </c>
      <c r="B92" s="87" t="s">
        <v>464</v>
      </c>
      <c r="C92" s="259" t="s">
        <v>619</v>
      </c>
      <c r="D92" s="241">
        <f>D93+D95+D96+D97</f>
        <v>20</v>
      </c>
      <c r="E92" s="241">
        <f>E93+E95+E96+E97</f>
        <v>20</v>
      </c>
      <c r="F92" s="241">
        <f>F93+F95+F96+F97</f>
        <v>20</v>
      </c>
    </row>
    <row r="93" spans="1:6" ht="23.25" customHeight="1">
      <c r="A93" s="191"/>
      <c r="B93" s="87"/>
      <c r="C93" s="259" t="s">
        <v>620</v>
      </c>
      <c r="D93" s="241">
        <f>'Таблица 6'!D28</f>
        <v>20</v>
      </c>
      <c r="E93" s="241">
        <f>'Таблица 6'!E28</f>
        <v>20</v>
      </c>
      <c r="F93" s="241">
        <f>'Таблица 6'!F28</f>
        <v>20</v>
      </c>
    </row>
    <row r="94" spans="1:6" ht="27" customHeight="1">
      <c r="A94" s="191"/>
      <c r="B94" s="87"/>
      <c r="C94" s="260" t="s">
        <v>622</v>
      </c>
      <c r="D94" s="241"/>
      <c r="E94" s="241"/>
      <c r="F94" s="241"/>
    </row>
    <row r="95" spans="1:6" ht="12.75">
      <c r="A95" s="191"/>
      <c r="B95" s="87"/>
      <c r="C95" s="259" t="s">
        <v>627</v>
      </c>
      <c r="D95" s="241"/>
      <c r="E95" s="241"/>
      <c r="F95" s="241"/>
    </row>
    <row r="96" spans="1:6" ht="12.75">
      <c r="A96" s="191"/>
      <c r="B96" s="87"/>
      <c r="C96" s="259" t="s">
        <v>624</v>
      </c>
      <c r="D96" s="241"/>
      <c r="E96" s="241"/>
      <c r="F96" s="241"/>
    </row>
    <row r="97" spans="1:6" ht="12.75">
      <c r="A97" s="191"/>
      <c r="B97" s="87"/>
      <c r="C97" s="259" t="s">
        <v>625</v>
      </c>
      <c r="D97" s="241"/>
      <c r="E97" s="241"/>
      <c r="F97" s="241"/>
    </row>
    <row r="98" spans="1:6" ht="12.75">
      <c r="A98" s="191"/>
      <c r="B98" s="87"/>
      <c r="C98" s="259" t="s">
        <v>626</v>
      </c>
      <c r="D98" s="241"/>
      <c r="E98" s="241"/>
      <c r="F98" s="241"/>
    </row>
    <row r="99" spans="1:6" ht="12.75" customHeight="1">
      <c r="A99" s="191" t="s">
        <v>640</v>
      </c>
      <c r="B99" s="261" t="s">
        <v>466</v>
      </c>
      <c r="C99" s="259" t="s">
        <v>619</v>
      </c>
      <c r="D99" s="241">
        <f>D100+D102+D103+D104</f>
        <v>9407.9</v>
      </c>
      <c r="E99" s="241">
        <f>E100+E102+E103+E104</f>
        <v>10537</v>
      </c>
      <c r="F99" s="241">
        <f>F100+F102+F103+F104</f>
        <v>10537</v>
      </c>
    </row>
    <row r="100" spans="1:6" ht="12.75">
      <c r="A100" s="191"/>
      <c r="B100" s="261"/>
      <c r="C100" s="259" t="s">
        <v>620</v>
      </c>
      <c r="D100" s="241">
        <f>'Таблица 6'!D29</f>
        <v>9407.9</v>
      </c>
      <c r="E100" s="241">
        <f>'Таблица 6'!E29</f>
        <v>10537</v>
      </c>
      <c r="F100" s="241">
        <f>'Таблица 6'!F29</f>
        <v>10537</v>
      </c>
    </row>
    <row r="101" spans="1:6" ht="24" customHeight="1">
      <c r="A101" s="191"/>
      <c r="B101" s="261"/>
      <c r="C101" s="260" t="s">
        <v>622</v>
      </c>
      <c r="D101" s="241"/>
      <c r="E101" s="241"/>
      <c r="F101" s="241"/>
    </row>
    <row r="102" spans="1:6" ht="12.75">
      <c r="A102" s="191"/>
      <c r="B102" s="261"/>
      <c r="C102" s="259" t="s">
        <v>627</v>
      </c>
      <c r="D102" s="241"/>
      <c r="E102" s="241"/>
      <c r="F102" s="241"/>
    </row>
    <row r="103" spans="1:6" ht="12.75">
      <c r="A103" s="191"/>
      <c r="B103" s="261"/>
      <c r="C103" s="259" t="s">
        <v>624</v>
      </c>
      <c r="D103" s="241"/>
      <c r="E103" s="241"/>
      <c r="F103" s="241"/>
    </row>
    <row r="104" spans="1:6" ht="12.75">
      <c r="A104" s="191"/>
      <c r="B104" s="261"/>
      <c r="C104" s="259" t="s">
        <v>625</v>
      </c>
      <c r="D104" s="241"/>
      <c r="E104" s="241"/>
      <c r="F104" s="241"/>
    </row>
    <row r="105" spans="1:6" ht="12.75">
      <c r="A105" s="191"/>
      <c r="B105" s="261"/>
      <c r="C105" s="259" t="s">
        <v>626</v>
      </c>
      <c r="D105" s="241"/>
      <c r="E105" s="241"/>
      <c r="F105" s="241"/>
    </row>
    <row r="106" spans="1:6" ht="12.75" customHeight="1">
      <c r="A106" s="191" t="s">
        <v>641</v>
      </c>
      <c r="B106" s="194" t="s">
        <v>468</v>
      </c>
      <c r="C106" s="259" t="s">
        <v>619</v>
      </c>
      <c r="D106" s="241">
        <f>D107+D109+D110+D111</f>
        <v>1989.4</v>
      </c>
      <c r="E106" s="241">
        <f>E107+E109+E110+E111</f>
        <v>1989.4</v>
      </c>
      <c r="F106" s="241">
        <f>F107+F109+F110+F111</f>
        <v>1989.4</v>
      </c>
    </row>
    <row r="107" spans="1:6" ht="12.75">
      <c r="A107" s="191"/>
      <c r="B107" s="194"/>
      <c r="C107" s="259" t="s">
        <v>620</v>
      </c>
      <c r="D107" s="241">
        <f>'Таблица 6'!D30</f>
        <v>1989.4</v>
      </c>
      <c r="E107" s="241">
        <f>'Таблица 6'!E30</f>
        <v>1989.4</v>
      </c>
      <c r="F107" s="241">
        <f>'Таблица 6'!F30</f>
        <v>1989.4</v>
      </c>
    </row>
    <row r="108" spans="1:6" ht="24.75" customHeight="1">
      <c r="A108" s="191"/>
      <c r="B108" s="194"/>
      <c r="C108" s="260" t="s">
        <v>622</v>
      </c>
      <c r="D108" s="241"/>
      <c r="E108" s="241"/>
      <c r="F108" s="241"/>
    </row>
    <row r="109" spans="1:6" ht="12.75">
      <c r="A109" s="191"/>
      <c r="B109" s="194"/>
      <c r="C109" s="259" t="s">
        <v>627</v>
      </c>
      <c r="D109" s="241"/>
      <c r="E109" s="241"/>
      <c r="F109" s="241"/>
    </row>
    <row r="110" spans="1:6" ht="12.75">
      <c r="A110" s="191"/>
      <c r="B110" s="194"/>
      <c r="C110" s="259" t="s">
        <v>624</v>
      </c>
      <c r="D110" s="241"/>
      <c r="E110" s="241"/>
      <c r="F110" s="241"/>
    </row>
    <row r="111" spans="1:6" ht="12.75">
      <c r="A111" s="191"/>
      <c r="B111" s="194"/>
      <c r="C111" s="259" t="s">
        <v>625</v>
      </c>
      <c r="D111" s="241"/>
      <c r="E111" s="241"/>
      <c r="F111" s="241"/>
    </row>
    <row r="112" spans="1:6" ht="12.75">
      <c r="A112" s="191"/>
      <c r="B112" s="194"/>
      <c r="C112" s="259" t="s">
        <v>626</v>
      </c>
      <c r="D112" s="241"/>
      <c r="E112" s="241"/>
      <c r="F112" s="241"/>
    </row>
    <row r="113" spans="1:6" ht="12.75" customHeight="1">
      <c r="A113" s="191" t="s">
        <v>642</v>
      </c>
      <c r="B113" s="87" t="s">
        <v>643</v>
      </c>
      <c r="C113" s="259" t="s">
        <v>619</v>
      </c>
      <c r="D113" s="241">
        <f>D114+D116+D117+D118</f>
        <v>170</v>
      </c>
      <c r="E113" s="241">
        <f>E114+E116+E117+E118</f>
        <v>170</v>
      </c>
      <c r="F113" s="241">
        <f>F114+F116+F117+F118</f>
        <v>170</v>
      </c>
    </row>
    <row r="114" spans="1:6" ht="12.75">
      <c r="A114" s="191"/>
      <c r="B114" s="87"/>
      <c r="C114" s="259" t="s">
        <v>620</v>
      </c>
      <c r="D114" s="241">
        <f>'Таблица 6'!D31</f>
        <v>170</v>
      </c>
      <c r="E114" s="241">
        <f>'Таблица 6'!E31</f>
        <v>170</v>
      </c>
      <c r="F114" s="241">
        <f>'Таблица 6'!F31</f>
        <v>170</v>
      </c>
    </row>
    <row r="115" spans="1:6" ht="25.5" customHeight="1">
      <c r="A115" s="191"/>
      <c r="B115" s="87"/>
      <c r="C115" s="260" t="s">
        <v>622</v>
      </c>
      <c r="D115" s="241"/>
      <c r="E115" s="241"/>
      <c r="F115" s="241"/>
    </row>
    <row r="116" spans="1:6" ht="12.75">
      <c r="A116" s="191"/>
      <c r="B116" s="87"/>
      <c r="C116" s="259" t="s">
        <v>627</v>
      </c>
      <c r="D116" s="241"/>
      <c r="E116" s="241"/>
      <c r="F116" s="241"/>
    </row>
    <row r="117" spans="1:6" ht="12.75">
      <c r="A117" s="191"/>
      <c r="B117" s="87"/>
      <c r="C117" s="259" t="s">
        <v>624</v>
      </c>
      <c r="D117" s="241"/>
      <c r="E117" s="241"/>
      <c r="F117" s="241"/>
    </row>
    <row r="118" spans="1:6" ht="12.75">
      <c r="A118" s="191"/>
      <c r="B118" s="87"/>
      <c r="C118" s="259" t="s">
        <v>625</v>
      </c>
      <c r="D118" s="241"/>
      <c r="E118" s="241"/>
      <c r="F118" s="241"/>
    </row>
    <row r="119" spans="1:6" ht="12.75">
      <c r="A119" s="191"/>
      <c r="B119" s="87"/>
      <c r="C119" s="259" t="s">
        <v>626</v>
      </c>
      <c r="D119" s="241"/>
      <c r="E119" s="241"/>
      <c r="F119" s="241"/>
    </row>
    <row r="120" spans="1:6" ht="12.75" customHeight="1">
      <c r="A120" s="191" t="s">
        <v>644</v>
      </c>
      <c r="B120" s="194" t="s">
        <v>472</v>
      </c>
      <c r="C120" s="259" t="s">
        <v>619</v>
      </c>
      <c r="D120" s="241">
        <f>D121+D123+D124+D125</f>
        <v>88</v>
      </c>
      <c r="E120" s="241">
        <f>E121+E123+E124+E125</f>
        <v>88</v>
      </c>
      <c r="F120" s="241">
        <f>F121+F123+F124+F125</f>
        <v>88</v>
      </c>
    </row>
    <row r="121" spans="1:6" ht="12.75">
      <c r="A121" s="191"/>
      <c r="B121" s="194"/>
      <c r="C121" s="259" t="s">
        <v>620</v>
      </c>
      <c r="D121" s="241">
        <f>'Таблица 6'!D32</f>
        <v>88</v>
      </c>
      <c r="E121" s="241">
        <f>'Таблица 6'!E32</f>
        <v>88</v>
      </c>
      <c r="F121" s="241">
        <f>'Таблица 6'!F32</f>
        <v>88</v>
      </c>
    </row>
    <row r="122" spans="1:6" ht="27" customHeight="1">
      <c r="A122" s="191"/>
      <c r="B122" s="194"/>
      <c r="C122" s="260" t="s">
        <v>622</v>
      </c>
      <c r="D122" s="241">
        <f>'Таблица 6'!D32</f>
        <v>88</v>
      </c>
      <c r="E122" s="241">
        <f>'Таблица 6'!E32</f>
        <v>88</v>
      </c>
      <c r="F122" s="241">
        <f>'Таблица 6'!F32</f>
        <v>88</v>
      </c>
    </row>
    <row r="123" spans="1:6" ht="12.75">
      <c r="A123" s="191"/>
      <c r="B123" s="194"/>
      <c r="C123" s="259" t="s">
        <v>627</v>
      </c>
      <c r="D123" s="241"/>
      <c r="E123" s="241"/>
      <c r="F123" s="241"/>
    </row>
    <row r="124" spans="1:6" ht="12.75">
      <c r="A124" s="191"/>
      <c r="B124" s="194"/>
      <c r="C124" s="259" t="s">
        <v>624</v>
      </c>
      <c r="D124" s="241"/>
      <c r="E124" s="241"/>
      <c r="F124" s="241"/>
    </row>
    <row r="125" spans="1:6" ht="12.75">
      <c r="A125" s="191"/>
      <c r="B125" s="194"/>
      <c r="C125" s="259" t="s">
        <v>625</v>
      </c>
      <c r="D125" s="241"/>
      <c r="E125" s="241"/>
      <c r="F125" s="241"/>
    </row>
    <row r="126" spans="1:6" ht="12.75">
      <c r="A126" s="191"/>
      <c r="B126" s="194"/>
      <c r="C126" s="259" t="s">
        <v>626</v>
      </c>
      <c r="D126" s="241"/>
      <c r="E126" s="241"/>
      <c r="F126" s="241"/>
    </row>
    <row r="127" spans="1:6" ht="12.75" customHeight="1">
      <c r="A127" s="191" t="s">
        <v>645</v>
      </c>
      <c r="B127" s="194" t="s">
        <v>646</v>
      </c>
      <c r="C127" s="259" t="s">
        <v>619</v>
      </c>
      <c r="D127" s="241">
        <f>D128+D130+D131+D132</f>
        <v>57203.3</v>
      </c>
      <c r="E127" s="241">
        <f>E128+E130+E131+E132</f>
        <v>60062.2</v>
      </c>
      <c r="F127" s="241">
        <f>F128+F130+F131+F132</f>
        <v>63067.8</v>
      </c>
    </row>
    <row r="128" spans="1:6" ht="12.75">
      <c r="A128" s="191"/>
      <c r="B128" s="194"/>
      <c r="C128" s="259" t="s">
        <v>620</v>
      </c>
      <c r="D128" s="241">
        <f>'Таблица 6'!D33</f>
        <v>57203.3</v>
      </c>
      <c r="E128" s="241">
        <f>'Таблица 6'!E33</f>
        <v>60062.2</v>
      </c>
      <c r="F128" s="241">
        <f>'Таблица 6'!F33</f>
        <v>63067.8</v>
      </c>
    </row>
    <row r="129" spans="1:6" ht="24" customHeight="1">
      <c r="A129" s="191"/>
      <c r="B129" s="194"/>
      <c r="C129" s="260" t="s">
        <v>622</v>
      </c>
      <c r="D129" s="241">
        <f>'Таблица 6'!D33</f>
        <v>57203.3</v>
      </c>
      <c r="E129" s="241">
        <f>'Таблица 6'!E33</f>
        <v>60062.2</v>
      </c>
      <c r="F129" s="241">
        <f>'Таблица 6'!F33</f>
        <v>63067.8</v>
      </c>
    </row>
    <row r="130" spans="1:6" ht="12.75">
      <c r="A130" s="191"/>
      <c r="B130" s="194"/>
      <c r="C130" s="259" t="s">
        <v>627</v>
      </c>
      <c r="D130" s="241"/>
      <c r="E130" s="241"/>
      <c r="F130" s="241"/>
    </row>
    <row r="131" spans="1:6" ht="12.75">
      <c r="A131" s="191"/>
      <c r="B131" s="194"/>
      <c r="C131" s="259" t="s">
        <v>624</v>
      </c>
      <c r="D131" s="241"/>
      <c r="E131" s="241"/>
      <c r="F131" s="241"/>
    </row>
    <row r="132" spans="1:6" ht="12.75">
      <c r="A132" s="191"/>
      <c r="B132" s="194"/>
      <c r="C132" s="259" t="s">
        <v>625</v>
      </c>
      <c r="D132" s="241"/>
      <c r="E132" s="241"/>
      <c r="F132" s="241"/>
    </row>
    <row r="133" spans="1:6" ht="12.75">
      <c r="A133" s="191"/>
      <c r="B133" s="194"/>
      <c r="C133" s="259" t="s">
        <v>626</v>
      </c>
      <c r="D133" s="241"/>
      <c r="E133" s="241"/>
      <c r="F133" s="241"/>
    </row>
    <row r="134" spans="1:6" ht="12.75" customHeight="1">
      <c r="A134" s="191" t="s">
        <v>647</v>
      </c>
      <c r="B134" s="194" t="s">
        <v>476</v>
      </c>
      <c r="C134" s="259" t="s">
        <v>619</v>
      </c>
      <c r="D134" s="241">
        <f>D135+D137+D138+D139</f>
        <v>72.6</v>
      </c>
      <c r="E134" s="241">
        <f>E135+E137+E138+E139</f>
        <v>72.6</v>
      </c>
      <c r="F134" s="241">
        <f>F135+F137+F138+F139</f>
        <v>72.6</v>
      </c>
    </row>
    <row r="135" spans="1:6" ht="12.75">
      <c r="A135" s="191"/>
      <c r="B135" s="194"/>
      <c r="C135" s="259" t="s">
        <v>620</v>
      </c>
      <c r="D135" s="241">
        <f>'Таблица 6'!D34</f>
        <v>72.6</v>
      </c>
      <c r="E135" s="241">
        <f>'Таблица 6'!E34</f>
        <v>72.6</v>
      </c>
      <c r="F135" s="241">
        <f>'Таблица 6'!F34</f>
        <v>72.6</v>
      </c>
    </row>
    <row r="136" spans="1:6" ht="27" customHeight="1">
      <c r="A136" s="191"/>
      <c r="B136" s="194"/>
      <c r="C136" s="260" t="s">
        <v>622</v>
      </c>
      <c r="D136" s="241">
        <f>'Таблица 6'!D34</f>
        <v>72.6</v>
      </c>
      <c r="E136" s="241">
        <f>'Таблица 6'!E34</f>
        <v>72.6</v>
      </c>
      <c r="F136" s="241">
        <f>'Таблица 6'!F34</f>
        <v>72.6</v>
      </c>
    </row>
    <row r="137" spans="1:6" ht="12.75">
      <c r="A137" s="191"/>
      <c r="B137" s="194"/>
      <c r="C137" s="259" t="s">
        <v>627</v>
      </c>
      <c r="D137" s="241"/>
      <c r="E137" s="241"/>
      <c r="F137" s="241"/>
    </row>
    <row r="138" spans="1:6" ht="12.75">
      <c r="A138" s="191"/>
      <c r="B138" s="194"/>
      <c r="C138" s="259" t="s">
        <v>624</v>
      </c>
      <c r="D138" s="241"/>
      <c r="E138" s="241"/>
      <c r="F138" s="241"/>
    </row>
    <row r="139" spans="1:6" ht="12.75">
      <c r="A139" s="191"/>
      <c r="B139" s="194"/>
      <c r="C139" s="259" t="s">
        <v>625</v>
      </c>
      <c r="D139" s="241"/>
      <c r="E139" s="241"/>
      <c r="F139" s="241"/>
    </row>
    <row r="140" spans="1:6" ht="12.75">
      <c r="A140" s="191"/>
      <c r="B140" s="194"/>
      <c r="C140" s="259" t="s">
        <v>626</v>
      </c>
      <c r="D140" s="241"/>
      <c r="E140" s="241"/>
      <c r="F140" s="241"/>
    </row>
    <row r="141" spans="1:6" ht="12.75" customHeight="1">
      <c r="A141" s="191" t="s">
        <v>648</v>
      </c>
      <c r="B141" s="194" t="s">
        <v>478</v>
      </c>
      <c r="C141" s="259" t="s">
        <v>619</v>
      </c>
      <c r="D141" s="241">
        <f>D142+D144+D145+D146</f>
        <v>38730.4</v>
      </c>
      <c r="E141" s="241">
        <f>E142+E144+E145+E146</f>
        <v>38730.4</v>
      </c>
      <c r="F141" s="241">
        <f>F142+F144+F145+F146</f>
        <v>40645.6</v>
      </c>
    </row>
    <row r="142" spans="1:6" ht="12.75">
      <c r="A142" s="191"/>
      <c r="B142" s="194"/>
      <c r="C142" s="259" t="s">
        <v>620</v>
      </c>
      <c r="D142" s="241">
        <f>'Таблица 6'!D35</f>
        <v>38730.4</v>
      </c>
      <c r="E142" s="241">
        <f>'Таблица 6'!E35</f>
        <v>38730.4</v>
      </c>
      <c r="F142" s="241">
        <f>'Таблица 6'!F35</f>
        <v>40645.6</v>
      </c>
    </row>
    <row r="143" spans="1:6" ht="25.5" customHeight="1">
      <c r="A143" s="191"/>
      <c r="B143" s="194"/>
      <c r="C143" s="260" t="s">
        <v>622</v>
      </c>
      <c r="D143" s="241">
        <f>'Таблица 6'!D35</f>
        <v>38730.4</v>
      </c>
      <c r="E143" s="241">
        <f>'Таблица 6'!E35</f>
        <v>38730.4</v>
      </c>
      <c r="F143" s="241">
        <f>'Таблица 6'!F35</f>
        <v>40645.6</v>
      </c>
    </row>
    <row r="144" spans="1:6" ht="12.75">
      <c r="A144" s="191"/>
      <c r="B144" s="194"/>
      <c r="C144" s="259" t="s">
        <v>627</v>
      </c>
      <c r="D144" s="241"/>
      <c r="E144" s="241"/>
      <c r="F144" s="241"/>
    </row>
    <row r="145" spans="1:6" ht="12.75">
      <c r="A145" s="191"/>
      <c r="B145" s="194"/>
      <c r="C145" s="259" t="s">
        <v>624</v>
      </c>
      <c r="D145" s="241"/>
      <c r="E145" s="241"/>
      <c r="F145" s="241"/>
    </row>
    <row r="146" spans="1:6" ht="12.75">
      <c r="A146" s="191"/>
      <c r="B146" s="194"/>
      <c r="C146" s="259" t="s">
        <v>625</v>
      </c>
      <c r="D146" s="241"/>
      <c r="E146" s="241"/>
      <c r="F146" s="241"/>
    </row>
    <row r="147" spans="1:6" ht="12.75">
      <c r="A147" s="191"/>
      <c r="B147" s="194"/>
      <c r="C147" s="259" t="s">
        <v>626</v>
      </c>
      <c r="D147" s="241"/>
      <c r="E147" s="241"/>
      <c r="F147" s="241"/>
    </row>
    <row r="148" spans="1:6" ht="12.75" customHeight="1">
      <c r="A148" s="191" t="s">
        <v>649</v>
      </c>
      <c r="B148" s="87" t="s">
        <v>480</v>
      </c>
      <c r="C148" s="259" t="s">
        <v>619</v>
      </c>
      <c r="D148" s="241">
        <f>D149+D151+D152+D153</f>
        <v>893.2</v>
      </c>
      <c r="E148" s="241">
        <f>E149+E151+E152+E153</f>
        <v>893.2</v>
      </c>
      <c r="F148" s="241">
        <f>F149+F151+F152+F153</f>
        <v>893.2</v>
      </c>
    </row>
    <row r="149" spans="1:6" ht="12.75">
      <c r="A149" s="191"/>
      <c r="B149" s="87"/>
      <c r="C149" s="259" t="s">
        <v>620</v>
      </c>
      <c r="D149" s="241">
        <f>'Таблица 6'!D36</f>
        <v>893.2</v>
      </c>
      <c r="E149" s="241">
        <f>'Таблица 6'!E36</f>
        <v>893.2</v>
      </c>
      <c r="F149" s="241">
        <f>'Таблица 6'!F36</f>
        <v>893.2</v>
      </c>
    </row>
    <row r="150" spans="1:6" ht="25.5" customHeight="1">
      <c r="A150" s="191"/>
      <c r="B150" s="87"/>
      <c r="C150" s="260" t="s">
        <v>622</v>
      </c>
      <c r="D150" s="241"/>
      <c r="E150" s="241"/>
      <c r="F150" s="241"/>
    </row>
    <row r="151" spans="1:6" ht="12.75">
      <c r="A151" s="191"/>
      <c r="B151" s="87"/>
      <c r="C151" s="259" t="s">
        <v>627</v>
      </c>
      <c r="D151" s="241"/>
      <c r="E151" s="241"/>
      <c r="F151" s="241"/>
    </row>
    <row r="152" spans="1:6" ht="12.75">
      <c r="A152" s="191"/>
      <c r="B152" s="87"/>
      <c r="C152" s="259" t="s">
        <v>624</v>
      </c>
      <c r="D152" s="241"/>
      <c r="E152" s="241"/>
      <c r="F152" s="241"/>
    </row>
    <row r="153" spans="1:6" ht="12.75">
      <c r="A153" s="191"/>
      <c r="B153" s="87"/>
      <c r="C153" s="259" t="s">
        <v>625</v>
      </c>
      <c r="D153" s="241"/>
      <c r="E153" s="241"/>
      <c r="F153" s="241"/>
    </row>
    <row r="154" spans="1:6" ht="12.75">
      <c r="A154" s="191"/>
      <c r="B154" s="87"/>
      <c r="C154" s="259" t="s">
        <v>626</v>
      </c>
      <c r="D154" s="241"/>
      <c r="E154" s="241"/>
      <c r="F154" s="241"/>
    </row>
    <row r="155" spans="1:6" ht="12.75" customHeight="1">
      <c r="A155" s="191" t="s">
        <v>650</v>
      </c>
      <c r="B155" s="261" t="s">
        <v>482</v>
      </c>
      <c r="C155" s="259" t="s">
        <v>619</v>
      </c>
      <c r="D155" s="241">
        <f>D156+D158+D159+D160</f>
        <v>208720.6</v>
      </c>
      <c r="E155" s="241">
        <f>E156+E158+E159+E160</f>
        <v>165840</v>
      </c>
      <c r="F155" s="241">
        <f>F156+F158+F159+F160</f>
        <v>165840</v>
      </c>
    </row>
    <row r="156" spans="1:6" ht="12.75">
      <c r="A156" s="191"/>
      <c r="B156" s="261"/>
      <c r="C156" s="259" t="s">
        <v>620</v>
      </c>
      <c r="D156" s="241">
        <f>'Таблица 6'!D37</f>
        <v>208720.6</v>
      </c>
      <c r="E156" s="241">
        <f>'Таблица 6'!E37</f>
        <v>165840</v>
      </c>
      <c r="F156" s="241">
        <f>'Таблица 6'!F37</f>
        <v>165840</v>
      </c>
    </row>
    <row r="157" spans="1:6" ht="24.75" customHeight="1">
      <c r="A157" s="191"/>
      <c r="B157" s="261"/>
      <c r="C157" s="260" t="s">
        <v>622</v>
      </c>
      <c r="D157" s="241"/>
      <c r="E157" s="241"/>
      <c r="F157" s="241"/>
    </row>
    <row r="158" spans="1:6" ht="12.75">
      <c r="A158" s="191"/>
      <c r="B158" s="261"/>
      <c r="C158" s="259" t="s">
        <v>627</v>
      </c>
      <c r="D158" s="241"/>
      <c r="E158" s="241"/>
      <c r="F158" s="241"/>
    </row>
    <row r="159" spans="1:6" ht="12.75">
      <c r="A159" s="191"/>
      <c r="B159" s="261"/>
      <c r="C159" s="259" t="s">
        <v>624</v>
      </c>
      <c r="D159" s="241"/>
      <c r="E159" s="241"/>
      <c r="F159" s="241"/>
    </row>
    <row r="160" spans="1:6" ht="13.5" customHeight="1">
      <c r="A160" s="191"/>
      <c r="B160" s="261"/>
      <c r="C160" s="259" t="s">
        <v>625</v>
      </c>
      <c r="D160" s="241"/>
      <c r="E160" s="241"/>
      <c r="F160" s="241"/>
    </row>
    <row r="161" spans="1:6" ht="12" customHeight="1">
      <c r="A161" s="191"/>
      <c r="B161" s="261"/>
      <c r="C161" s="259" t="s">
        <v>626</v>
      </c>
      <c r="D161" s="241"/>
      <c r="E161" s="241"/>
      <c r="F161" s="241"/>
    </row>
    <row r="162" spans="1:6" ht="12.75" customHeight="1">
      <c r="A162" s="191" t="s">
        <v>651</v>
      </c>
      <c r="B162" s="87" t="s">
        <v>484</v>
      </c>
      <c r="C162" s="259" t="s">
        <v>619</v>
      </c>
      <c r="D162" s="241">
        <f>D163+D165+D166+D167</f>
        <v>362066.4</v>
      </c>
      <c r="E162" s="241">
        <f>E163+E165+E166+E167</f>
        <v>385231.8</v>
      </c>
      <c r="F162" s="241">
        <f>F163+F165+F166+F167</f>
        <v>408050.2</v>
      </c>
    </row>
    <row r="163" spans="1:6" ht="12.75">
      <c r="A163" s="191"/>
      <c r="B163" s="87"/>
      <c r="C163" s="259" t="s">
        <v>620</v>
      </c>
      <c r="D163" s="241">
        <f>'Таблица 6'!D38</f>
        <v>362066.4</v>
      </c>
      <c r="E163" s="241">
        <f>'Таблица 6'!E38</f>
        <v>385231.8</v>
      </c>
      <c r="F163" s="241">
        <f>'Таблица 6'!F38</f>
        <v>408050.2</v>
      </c>
    </row>
    <row r="164" spans="1:6" ht="27.75" customHeight="1">
      <c r="A164" s="191"/>
      <c r="B164" s="87"/>
      <c r="C164" s="260" t="s">
        <v>622</v>
      </c>
      <c r="D164" s="241"/>
      <c r="E164" s="241"/>
      <c r="F164" s="241"/>
    </row>
    <row r="165" spans="1:6" ht="12.75">
      <c r="A165" s="191"/>
      <c r="B165" s="87"/>
      <c r="C165" s="259" t="s">
        <v>627</v>
      </c>
      <c r="D165" s="241"/>
      <c r="E165" s="241"/>
      <c r="F165" s="241"/>
    </row>
    <row r="166" spans="1:6" ht="12.75">
      <c r="A166" s="191"/>
      <c r="B166" s="87"/>
      <c r="C166" s="259" t="s">
        <v>624</v>
      </c>
      <c r="D166" s="241"/>
      <c r="E166" s="241"/>
      <c r="F166" s="241"/>
    </row>
    <row r="167" spans="1:6" ht="12.75">
      <c r="A167" s="191"/>
      <c r="B167" s="87"/>
      <c r="C167" s="259" t="s">
        <v>625</v>
      </c>
      <c r="D167" s="241"/>
      <c r="E167" s="241"/>
      <c r="F167" s="241"/>
    </row>
    <row r="168" spans="1:6" ht="12.75">
      <c r="A168" s="191"/>
      <c r="B168" s="87"/>
      <c r="C168" s="259" t="s">
        <v>626</v>
      </c>
      <c r="D168" s="241"/>
      <c r="E168" s="241"/>
      <c r="F168" s="241"/>
    </row>
    <row r="169" spans="1:6" ht="12.75" customHeight="1">
      <c r="A169" s="191" t="s">
        <v>652</v>
      </c>
      <c r="B169" s="87" t="s">
        <v>486</v>
      </c>
      <c r="C169" s="259" t="s">
        <v>619</v>
      </c>
      <c r="D169" s="241">
        <f>D170+D172+D173+D174</f>
        <v>19909.1</v>
      </c>
      <c r="E169" s="241">
        <f>E170+E172+E173+E174</f>
        <v>20866.1</v>
      </c>
      <c r="F169" s="241">
        <f>F170+F172+F173+F174</f>
        <v>21946.6</v>
      </c>
    </row>
    <row r="170" spans="1:6" ht="12.75">
      <c r="A170" s="191"/>
      <c r="B170" s="87"/>
      <c r="C170" s="259" t="s">
        <v>620</v>
      </c>
      <c r="D170" s="241">
        <f>'Таблица 6'!D39</f>
        <v>19909.1</v>
      </c>
      <c r="E170" s="241">
        <f>'Таблица 6'!E39</f>
        <v>20866.1</v>
      </c>
      <c r="F170" s="241">
        <f>'Таблица 6'!F39</f>
        <v>21946.6</v>
      </c>
    </row>
    <row r="171" spans="1:6" ht="25.5" customHeight="1">
      <c r="A171" s="191"/>
      <c r="B171" s="87"/>
      <c r="C171" s="260" t="s">
        <v>622</v>
      </c>
      <c r="D171" s="241"/>
      <c r="E171" s="241"/>
      <c r="F171" s="241"/>
    </row>
    <row r="172" spans="1:6" ht="12.75">
      <c r="A172" s="191"/>
      <c r="B172" s="87"/>
      <c r="C172" s="259" t="s">
        <v>627</v>
      </c>
      <c r="D172" s="241"/>
      <c r="E172" s="241"/>
      <c r="F172" s="241"/>
    </row>
    <row r="173" spans="1:6" ht="12.75">
      <c r="A173" s="191"/>
      <c r="B173" s="87"/>
      <c r="C173" s="259" t="s">
        <v>624</v>
      </c>
      <c r="D173" s="241"/>
      <c r="E173" s="241"/>
      <c r="F173" s="241"/>
    </row>
    <row r="174" spans="1:6" ht="12.75">
      <c r="A174" s="191"/>
      <c r="B174" s="87"/>
      <c r="C174" s="259" t="s">
        <v>625</v>
      </c>
      <c r="D174" s="241"/>
      <c r="E174" s="241"/>
      <c r="F174" s="241"/>
    </row>
    <row r="175" spans="1:6" ht="12.75">
      <c r="A175" s="191"/>
      <c r="B175" s="87"/>
      <c r="C175" s="259" t="s">
        <v>626</v>
      </c>
      <c r="D175" s="241"/>
      <c r="E175" s="241"/>
      <c r="F175" s="241"/>
    </row>
    <row r="176" spans="1:6" ht="12.75" customHeight="1">
      <c r="A176" s="191" t="s">
        <v>653</v>
      </c>
      <c r="B176" s="87" t="s">
        <v>488</v>
      </c>
      <c r="C176" s="259" t="s">
        <v>619</v>
      </c>
      <c r="D176" s="241">
        <f>D177+D179+D180+D181</f>
        <v>2154.4</v>
      </c>
      <c r="E176" s="241">
        <f>E177+E179+E180+E181</f>
        <v>1743.8</v>
      </c>
      <c r="F176" s="241">
        <f>F177+F179+F180+F181</f>
        <v>1744.8</v>
      </c>
    </row>
    <row r="177" spans="1:6" ht="12.75">
      <c r="A177" s="191"/>
      <c r="B177" s="87"/>
      <c r="C177" s="259" t="s">
        <v>620</v>
      </c>
      <c r="D177" s="241">
        <f>'Таблица 6'!D40</f>
        <v>2154.4</v>
      </c>
      <c r="E177" s="241">
        <f>'Таблица 6'!E40</f>
        <v>1743.8</v>
      </c>
      <c r="F177" s="241">
        <f>'Таблица 6'!F40</f>
        <v>1744.8</v>
      </c>
    </row>
    <row r="178" spans="1:6" ht="25.5" customHeight="1">
      <c r="A178" s="191"/>
      <c r="B178" s="87"/>
      <c r="C178" s="260" t="s">
        <v>622</v>
      </c>
      <c r="D178" s="241"/>
      <c r="E178" s="241"/>
      <c r="F178" s="241"/>
    </row>
    <row r="179" spans="1:6" ht="12.75">
      <c r="A179" s="191"/>
      <c r="B179" s="87"/>
      <c r="C179" s="259" t="s">
        <v>627</v>
      </c>
      <c r="D179" s="241"/>
      <c r="E179" s="241"/>
      <c r="F179" s="241"/>
    </row>
    <row r="180" spans="1:6" ht="12.75">
      <c r="A180" s="191"/>
      <c r="B180" s="87"/>
      <c r="C180" s="259" t="s">
        <v>624</v>
      </c>
      <c r="D180" s="241"/>
      <c r="E180" s="241"/>
      <c r="F180" s="241"/>
    </row>
    <row r="181" spans="1:6" ht="12.75">
      <c r="A181" s="191"/>
      <c r="B181" s="87"/>
      <c r="C181" s="259" t="s">
        <v>625</v>
      </c>
      <c r="D181" s="241"/>
      <c r="E181" s="241"/>
      <c r="F181" s="241"/>
    </row>
    <row r="182" spans="1:6" ht="12.75">
      <c r="A182" s="191"/>
      <c r="B182" s="87"/>
      <c r="C182" s="259" t="s">
        <v>626</v>
      </c>
      <c r="D182" s="241"/>
      <c r="E182" s="241"/>
      <c r="F182" s="241"/>
    </row>
    <row r="183" spans="1:6" ht="12.75" customHeight="1">
      <c r="A183" s="191" t="s">
        <v>654</v>
      </c>
      <c r="B183" s="194" t="s">
        <v>490</v>
      </c>
      <c r="C183" s="259" t="s">
        <v>619</v>
      </c>
      <c r="D183" s="241">
        <f>D184+D186+D187+D188</f>
        <v>8977.7</v>
      </c>
      <c r="E183" s="241">
        <f>E184+E186+E187+E188</f>
        <v>9029.8</v>
      </c>
      <c r="F183" s="241">
        <f>F184+F186+F187+F188</f>
        <v>9576.2</v>
      </c>
    </row>
    <row r="184" spans="1:6" ht="12.75">
      <c r="A184" s="191"/>
      <c r="B184" s="194"/>
      <c r="C184" s="259" t="s">
        <v>620</v>
      </c>
      <c r="D184" s="241">
        <f>'Таблица 6'!D41</f>
        <v>8977.7</v>
      </c>
      <c r="E184" s="241">
        <f>'Таблица 6'!E41</f>
        <v>9029.8</v>
      </c>
      <c r="F184" s="241">
        <f>'Таблица 6'!F41</f>
        <v>9576.2</v>
      </c>
    </row>
    <row r="185" spans="1:6" ht="27.75" customHeight="1">
      <c r="A185" s="191"/>
      <c r="B185" s="194"/>
      <c r="C185" s="260" t="s">
        <v>622</v>
      </c>
      <c r="D185" s="241">
        <f>'Таблица 6'!D41</f>
        <v>8977.7</v>
      </c>
      <c r="E185" s="241">
        <f>'Таблица 6'!E41</f>
        <v>9029.8</v>
      </c>
      <c r="F185" s="241">
        <f>'Таблица 6'!F41</f>
        <v>9576.2</v>
      </c>
    </row>
    <row r="186" spans="1:6" ht="12.75">
      <c r="A186" s="191"/>
      <c r="B186" s="194"/>
      <c r="C186" s="259" t="s">
        <v>627</v>
      </c>
      <c r="D186" s="241"/>
      <c r="E186" s="241"/>
      <c r="F186" s="241"/>
    </row>
    <row r="187" spans="1:6" ht="12.75">
      <c r="A187" s="191"/>
      <c r="B187" s="194"/>
      <c r="C187" s="259" t="s">
        <v>624</v>
      </c>
      <c r="D187" s="241"/>
      <c r="E187" s="241"/>
      <c r="F187" s="241"/>
    </row>
    <row r="188" spans="1:6" s="242" customFormat="1" ht="12.75">
      <c r="A188" s="191"/>
      <c r="B188" s="194"/>
      <c r="C188" s="259" t="s">
        <v>625</v>
      </c>
      <c r="D188" s="241"/>
      <c r="E188" s="241"/>
      <c r="F188" s="241"/>
    </row>
    <row r="189" spans="1:6" s="242" customFormat="1" ht="12.75">
      <c r="A189" s="191"/>
      <c r="B189" s="194"/>
      <c r="C189" s="259" t="s">
        <v>626</v>
      </c>
      <c r="D189" s="241"/>
      <c r="E189" s="241"/>
      <c r="F189" s="241"/>
    </row>
    <row r="190" spans="1:6" s="242" customFormat="1" ht="12.75" customHeight="1">
      <c r="A190" s="191" t="s">
        <v>655</v>
      </c>
      <c r="B190" s="194" t="s">
        <v>588</v>
      </c>
      <c r="C190" s="259" t="s">
        <v>619</v>
      </c>
      <c r="D190" s="241">
        <f>D191+D193+D194+D195</f>
        <v>479</v>
      </c>
      <c r="E190" s="241">
        <f>E191+E193+E194+E195</f>
        <v>479</v>
      </c>
      <c r="F190" s="241">
        <f>F191+F193+F194+F195</f>
        <v>479</v>
      </c>
    </row>
    <row r="191" spans="1:6" s="242" customFormat="1" ht="15.75" customHeight="1">
      <c r="A191" s="191"/>
      <c r="B191" s="194"/>
      <c r="C191" s="259" t="s">
        <v>620</v>
      </c>
      <c r="D191" s="241">
        <f>'Таблица 6'!D42</f>
        <v>479</v>
      </c>
      <c r="E191" s="241">
        <f>'Таблица 6'!E42</f>
        <v>479</v>
      </c>
      <c r="F191" s="241">
        <f>'Таблица 6'!F42</f>
        <v>479</v>
      </c>
    </row>
    <row r="192" spans="1:6" s="242" customFormat="1" ht="24" customHeight="1">
      <c r="A192" s="191"/>
      <c r="B192" s="194"/>
      <c r="C192" s="260" t="s">
        <v>622</v>
      </c>
      <c r="D192" s="241"/>
      <c r="E192" s="241"/>
      <c r="F192" s="241"/>
    </row>
    <row r="193" spans="1:10" s="242" customFormat="1" ht="12.75">
      <c r="A193" s="191"/>
      <c r="B193" s="194"/>
      <c r="C193" s="259" t="s">
        <v>627</v>
      </c>
      <c r="D193" s="241"/>
      <c r="E193" s="241"/>
      <c r="F193" s="241"/>
      <c r="J193" s="172"/>
    </row>
    <row r="194" spans="1:10" s="242" customFormat="1" ht="12.75">
      <c r="A194" s="191"/>
      <c r="B194" s="194"/>
      <c r="C194" s="259" t="s">
        <v>624</v>
      </c>
      <c r="D194" s="241"/>
      <c r="E194" s="241"/>
      <c r="F194" s="241"/>
      <c r="J194" s="172"/>
    </row>
    <row r="195" spans="1:10" s="242" customFormat="1" ht="12.75">
      <c r="A195" s="191"/>
      <c r="B195" s="194"/>
      <c r="C195" s="259" t="s">
        <v>625</v>
      </c>
      <c r="D195" s="241"/>
      <c r="E195" s="241"/>
      <c r="F195" s="241"/>
      <c r="J195" s="172"/>
    </row>
    <row r="196" spans="1:10" s="242" customFormat="1" ht="12.75">
      <c r="A196" s="191"/>
      <c r="B196" s="194"/>
      <c r="C196" s="259" t="s">
        <v>626</v>
      </c>
      <c r="D196" s="241"/>
      <c r="E196" s="241"/>
      <c r="F196" s="241"/>
      <c r="J196" s="172"/>
    </row>
    <row r="197" spans="1:10" s="242" customFormat="1" ht="12.75" customHeight="1">
      <c r="A197" s="191" t="s">
        <v>656</v>
      </c>
      <c r="B197" s="87" t="s">
        <v>657</v>
      </c>
      <c r="C197" s="259" t="s">
        <v>619</v>
      </c>
      <c r="D197" s="241">
        <f>D198+D200+D201+D202</f>
        <v>104.451</v>
      </c>
      <c r="E197" s="241">
        <f>E198+E200+E201+E202</f>
        <v>0</v>
      </c>
      <c r="F197" s="241">
        <f>F198+F200+F201+F202</f>
        <v>0</v>
      </c>
      <c r="J197" s="172"/>
    </row>
    <row r="198" spans="1:10" s="242" customFormat="1" ht="12.75">
      <c r="A198" s="191"/>
      <c r="B198" s="87"/>
      <c r="C198" s="259" t="s">
        <v>620</v>
      </c>
      <c r="D198" s="241">
        <f>'Таблица 6'!D43</f>
        <v>104.451</v>
      </c>
      <c r="E198" s="241">
        <f>'Таблица 6'!E43</f>
        <v>0</v>
      </c>
      <c r="F198" s="241">
        <f>'Таблица 6'!F43</f>
        <v>0</v>
      </c>
      <c r="J198" s="172"/>
    </row>
    <row r="199" spans="1:10" s="242" customFormat="1" ht="28.5" customHeight="1">
      <c r="A199" s="191"/>
      <c r="B199" s="87"/>
      <c r="C199" s="260" t="s">
        <v>622</v>
      </c>
      <c r="D199" s="241">
        <f>'Таблица 6'!D43</f>
        <v>104.451</v>
      </c>
      <c r="E199" s="241">
        <f>'Таблица 6'!E43</f>
        <v>0</v>
      </c>
      <c r="F199" s="241">
        <f>'Таблица 6'!F43</f>
        <v>0</v>
      </c>
      <c r="J199" s="172"/>
    </row>
    <row r="200" spans="1:10" s="242" customFormat="1" ht="12.75">
      <c r="A200" s="191"/>
      <c r="B200" s="87"/>
      <c r="C200" s="259" t="s">
        <v>627</v>
      </c>
      <c r="D200" s="241"/>
      <c r="E200" s="241"/>
      <c r="F200" s="241"/>
      <c r="J200" s="172"/>
    </row>
    <row r="201" spans="1:10" s="242" customFormat="1" ht="12.75">
      <c r="A201" s="191"/>
      <c r="B201" s="87"/>
      <c r="C201" s="259" t="s">
        <v>624</v>
      </c>
      <c r="D201" s="241"/>
      <c r="E201" s="241"/>
      <c r="F201" s="241"/>
      <c r="J201" s="172"/>
    </row>
    <row r="202" spans="1:10" s="242" customFormat="1" ht="12.75">
      <c r="A202" s="191"/>
      <c r="B202" s="87"/>
      <c r="C202" s="259" t="s">
        <v>625</v>
      </c>
      <c r="D202" s="241"/>
      <c r="E202" s="241"/>
      <c r="F202" s="241"/>
      <c r="J202" s="172"/>
    </row>
    <row r="203" spans="1:10" s="242" customFormat="1" ht="12.75">
      <c r="A203" s="191"/>
      <c r="B203" s="87"/>
      <c r="C203" s="259" t="s">
        <v>626</v>
      </c>
      <c r="D203" s="241"/>
      <c r="E203" s="241"/>
      <c r="F203" s="241"/>
      <c r="J203" s="172"/>
    </row>
    <row r="204" spans="1:10" s="242" customFormat="1" ht="12.75" customHeight="1">
      <c r="A204" s="191" t="s">
        <v>658</v>
      </c>
      <c r="B204" s="87" t="s">
        <v>497</v>
      </c>
      <c r="C204" s="259" t="s">
        <v>619</v>
      </c>
      <c r="D204" s="241">
        <f>D205+D207+D208+D209</f>
        <v>47126.6</v>
      </c>
      <c r="E204" s="241">
        <f>E205+E207+E208+E209</f>
        <v>47138.6</v>
      </c>
      <c r="F204" s="241">
        <f>F205+F207+F208+F209</f>
        <v>47152.3</v>
      </c>
      <c r="J204" s="172"/>
    </row>
    <row r="205" spans="1:10" s="242" customFormat="1" ht="12.75">
      <c r="A205" s="191"/>
      <c r="B205" s="87"/>
      <c r="C205" s="259" t="s">
        <v>620</v>
      </c>
      <c r="D205" s="241">
        <f>'Таблица 6'!D45</f>
        <v>47126.6</v>
      </c>
      <c r="E205" s="241">
        <f>'Таблица 6'!E45</f>
        <v>47138.6</v>
      </c>
      <c r="F205" s="241">
        <f>'Таблица 6'!F45</f>
        <v>47152.3</v>
      </c>
      <c r="J205" s="172"/>
    </row>
    <row r="206" spans="1:10" s="242" customFormat="1" ht="25.5" customHeight="1">
      <c r="A206" s="191"/>
      <c r="B206" s="87"/>
      <c r="C206" s="260" t="s">
        <v>622</v>
      </c>
      <c r="D206" s="241">
        <f>'Таблица 6'!D45</f>
        <v>47126.6</v>
      </c>
      <c r="E206" s="241">
        <f>'Таблица 6'!E45</f>
        <v>47138.6</v>
      </c>
      <c r="F206" s="241">
        <f>'Таблица 6'!F45</f>
        <v>47152.3</v>
      </c>
      <c r="J206" s="172"/>
    </row>
    <row r="207" spans="1:10" s="242" customFormat="1" ht="12.75">
      <c r="A207" s="191"/>
      <c r="B207" s="87"/>
      <c r="C207" s="259" t="s">
        <v>627</v>
      </c>
      <c r="D207" s="241"/>
      <c r="E207" s="241"/>
      <c r="F207" s="241"/>
      <c r="J207" s="172"/>
    </row>
    <row r="208" spans="1:10" s="242" customFormat="1" ht="12.75">
      <c r="A208" s="191"/>
      <c r="B208" s="87"/>
      <c r="C208" s="259" t="s">
        <v>624</v>
      </c>
      <c r="D208" s="241"/>
      <c r="E208" s="241"/>
      <c r="F208" s="241"/>
      <c r="J208" s="172"/>
    </row>
    <row r="209" spans="1:10" s="242" customFormat="1" ht="12.75">
      <c r="A209" s="191"/>
      <c r="B209" s="87"/>
      <c r="C209" s="259" t="s">
        <v>625</v>
      </c>
      <c r="D209" s="241"/>
      <c r="E209" s="241"/>
      <c r="F209" s="241"/>
      <c r="J209" s="172"/>
    </row>
    <row r="210" spans="1:10" s="242" customFormat="1" ht="12.75">
      <c r="A210" s="191"/>
      <c r="B210" s="87"/>
      <c r="C210" s="259" t="s">
        <v>626</v>
      </c>
      <c r="D210" s="241"/>
      <c r="E210" s="241"/>
      <c r="F210" s="241"/>
      <c r="J210" s="172"/>
    </row>
    <row r="211" spans="1:10" s="242" customFormat="1" ht="12.75" customHeight="1">
      <c r="A211" s="191" t="s">
        <v>659</v>
      </c>
      <c r="B211" s="88" t="s">
        <v>499</v>
      </c>
      <c r="C211" s="259" t="s">
        <v>619</v>
      </c>
      <c r="D211" s="241">
        <f>D212+D214+D215+D216</f>
        <v>246117.6</v>
      </c>
      <c r="E211" s="241">
        <f>E212+E214+E215+E216</f>
        <v>149832.7</v>
      </c>
      <c r="F211" s="241">
        <f>F212+F214+F215+F216</f>
        <v>147210</v>
      </c>
      <c r="J211" s="172"/>
    </row>
    <row r="212" spans="1:10" s="242" customFormat="1" ht="26.25" customHeight="1">
      <c r="A212" s="191"/>
      <c r="B212" s="88"/>
      <c r="C212" s="259" t="s">
        <v>620</v>
      </c>
      <c r="D212" s="241">
        <f>'Таблица 6'!D46</f>
        <v>246117.6</v>
      </c>
      <c r="E212" s="241">
        <f>'Таблица 6'!E46</f>
        <v>149832.7</v>
      </c>
      <c r="F212" s="241">
        <f>'Таблица 6'!F46</f>
        <v>147210</v>
      </c>
      <c r="J212" s="172"/>
    </row>
    <row r="213" spans="1:10" s="242" customFormat="1" ht="28.5" customHeight="1">
      <c r="A213" s="191"/>
      <c r="B213" s="88"/>
      <c r="C213" s="260" t="s">
        <v>622</v>
      </c>
      <c r="D213" s="241">
        <f>'Таблица 6'!D47</f>
        <v>52455.5</v>
      </c>
      <c r="E213" s="241">
        <f>'Таблица 6'!E47</f>
        <v>49832.7</v>
      </c>
      <c r="F213" s="241">
        <f>'Таблица 6'!F47</f>
        <v>47210</v>
      </c>
      <c r="J213" s="172"/>
    </row>
    <row r="214" spans="1:10" s="242" customFormat="1" ht="12.75">
      <c r="A214" s="191"/>
      <c r="B214" s="88"/>
      <c r="C214" s="259" t="s">
        <v>627</v>
      </c>
      <c r="D214" s="241"/>
      <c r="E214" s="241"/>
      <c r="F214" s="241"/>
      <c r="J214" s="172"/>
    </row>
    <row r="215" spans="1:10" s="242" customFormat="1" ht="16.5" customHeight="1">
      <c r="A215" s="191"/>
      <c r="B215" s="88"/>
      <c r="C215" s="259" t="s">
        <v>624</v>
      </c>
      <c r="D215" s="241"/>
      <c r="E215" s="241"/>
      <c r="F215" s="241"/>
      <c r="J215" s="172"/>
    </row>
    <row r="216" spans="1:10" s="242" customFormat="1" ht="20.25" customHeight="1">
      <c r="A216" s="191"/>
      <c r="B216" s="88"/>
      <c r="C216" s="259" t="s">
        <v>625</v>
      </c>
      <c r="D216" s="241"/>
      <c r="E216" s="241"/>
      <c r="F216" s="241"/>
      <c r="J216" s="172"/>
    </row>
    <row r="217" spans="1:10" s="242" customFormat="1" ht="18.75" customHeight="1">
      <c r="A217" s="191"/>
      <c r="B217" s="88"/>
      <c r="C217" s="259" t="s">
        <v>626</v>
      </c>
      <c r="D217" s="241"/>
      <c r="E217" s="241"/>
      <c r="F217" s="241"/>
      <c r="J217" s="172"/>
    </row>
    <row r="218" spans="1:10" s="242" customFormat="1" ht="12.75" customHeight="1">
      <c r="A218" s="191" t="s">
        <v>660</v>
      </c>
      <c r="B218" s="87" t="s">
        <v>598</v>
      </c>
      <c r="C218" s="259" t="s">
        <v>619</v>
      </c>
      <c r="D218" s="241">
        <f>D219+D221+D222+D223</f>
        <v>36000</v>
      </c>
      <c r="E218" s="241">
        <f>E219+E221+E222+E223</f>
        <v>0</v>
      </c>
      <c r="F218" s="241">
        <f>F219+F221+F222+F223</f>
        <v>0</v>
      </c>
      <c r="J218" s="172"/>
    </row>
    <row r="219" spans="1:10" s="242" customFormat="1" ht="12.75">
      <c r="A219" s="191"/>
      <c r="B219" s="87"/>
      <c r="C219" s="259" t="s">
        <v>620</v>
      </c>
      <c r="D219" s="241">
        <f>'Таблица 6'!D48</f>
        <v>36000</v>
      </c>
      <c r="E219" s="241">
        <f>'Таблица 6'!E48</f>
        <v>0</v>
      </c>
      <c r="F219" s="241">
        <f>'Таблица 6'!F48</f>
        <v>0</v>
      </c>
      <c r="J219" s="172"/>
    </row>
    <row r="220" spans="1:10" s="242" customFormat="1" ht="25.5" customHeight="1">
      <c r="A220" s="191"/>
      <c r="B220" s="87"/>
      <c r="C220" s="260" t="s">
        <v>622</v>
      </c>
      <c r="D220" s="241"/>
      <c r="E220" s="241"/>
      <c r="F220" s="241"/>
      <c r="J220" s="172"/>
    </row>
    <row r="221" spans="1:10" s="242" customFormat="1" ht="12.75">
      <c r="A221" s="191"/>
      <c r="B221" s="87"/>
      <c r="C221" s="259" t="s">
        <v>627</v>
      </c>
      <c r="D221" s="241"/>
      <c r="E221" s="241"/>
      <c r="F221" s="241"/>
      <c r="J221" s="172"/>
    </row>
    <row r="222" spans="1:10" s="242" customFormat="1" ht="12.75">
      <c r="A222" s="191"/>
      <c r="B222" s="87"/>
      <c r="C222" s="259" t="s">
        <v>624</v>
      </c>
      <c r="D222" s="241"/>
      <c r="E222" s="241"/>
      <c r="F222" s="241"/>
      <c r="J222" s="172"/>
    </row>
    <row r="223" spans="1:10" s="242" customFormat="1" ht="12.75">
      <c r="A223" s="191"/>
      <c r="B223" s="87"/>
      <c r="C223" s="259" t="s">
        <v>625</v>
      </c>
      <c r="D223" s="241"/>
      <c r="E223" s="241"/>
      <c r="F223" s="241"/>
      <c r="J223" s="172"/>
    </row>
    <row r="224" spans="1:10" s="242" customFormat="1" ht="12.75">
      <c r="A224" s="191"/>
      <c r="B224" s="87"/>
      <c r="C224" s="259" t="s">
        <v>626</v>
      </c>
      <c r="D224" s="241"/>
      <c r="E224" s="241"/>
      <c r="F224" s="241"/>
      <c r="J224" s="172"/>
    </row>
    <row r="225" spans="1:10" s="242" customFormat="1" ht="12.75" customHeight="1">
      <c r="A225" s="191" t="s">
        <v>661</v>
      </c>
      <c r="B225" s="87" t="s">
        <v>504</v>
      </c>
      <c r="C225" s="259" t="s">
        <v>619</v>
      </c>
      <c r="D225" s="241">
        <f>D226+D228+D229+D230</f>
        <v>80160.101</v>
      </c>
      <c r="E225" s="241">
        <f>E226+E228+E229+E230</f>
        <v>0</v>
      </c>
      <c r="F225" s="241">
        <f>F226+F228+F229+F230</f>
        <v>0</v>
      </c>
      <c r="J225" s="172"/>
    </row>
    <row r="226" spans="1:10" s="242" customFormat="1" ht="12.75">
      <c r="A226" s="191"/>
      <c r="B226" s="87"/>
      <c r="C226" s="259" t="s">
        <v>620</v>
      </c>
      <c r="D226" s="241">
        <f>'Таблица 6'!D49</f>
        <v>80160.101</v>
      </c>
      <c r="E226" s="241">
        <f>'Таблица 6'!E49</f>
        <v>0</v>
      </c>
      <c r="F226" s="241">
        <f>'Таблица 6'!F49</f>
        <v>0</v>
      </c>
      <c r="J226" s="172"/>
    </row>
    <row r="227" spans="1:10" s="242" customFormat="1" ht="25.5" customHeight="1">
      <c r="A227" s="191"/>
      <c r="B227" s="87"/>
      <c r="C227" s="260" t="s">
        <v>622</v>
      </c>
      <c r="D227" s="241">
        <f>'Таблица 6'!D49</f>
        <v>80160.101</v>
      </c>
      <c r="E227" s="241">
        <f>'Таблица 6'!E49</f>
        <v>0</v>
      </c>
      <c r="F227" s="241">
        <f>'Таблица 6'!F49</f>
        <v>0</v>
      </c>
      <c r="J227" s="172"/>
    </row>
    <row r="228" spans="1:10" s="242" customFormat="1" ht="12.75">
      <c r="A228" s="191"/>
      <c r="B228" s="87"/>
      <c r="C228" s="259" t="s">
        <v>627</v>
      </c>
      <c r="D228" s="241"/>
      <c r="E228" s="241"/>
      <c r="F228" s="241"/>
      <c r="J228" s="172"/>
    </row>
    <row r="229" spans="1:10" s="242" customFormat="1" ht="12.75">
      <c r="A229" s="191"/>
      <c r="B229" s="87"/>
      <c r="C229" s="259" t="s">
        <v>624</v>
      </c>
      <c r="D229" s="241"/>
      <c r="E229" s="241"/>
      <c r="F229" s="241"/>
      <c r="J229" s="172"/>
    </row>
    <row r="230" spans="1:10" s="242" customFormat="1" ht="12.75">
      <c r="A230" s="191"/>
      <c r="B230" s="87"/>
      <c r="C230" s="259" t="s">
        <v>625</v>
      </c>
      <c r="D230" s="241"/>
      <c r="E230" s="241"/>
      <c r="F230" s="241"/>
      <c r="J230" s="172"/>
    </row>
    <row r="231" spans="1:10" s="242" customFormat="1" ht="12.75">
      <c r="A231" s="191"/>
      <c r="B231" s="87"/>
      <c r="C231" s="259" t="s">
        <v>626</v>
      </c>
      <c r="D231" s="241"/>
      <c r="E231" s="241"/>
      <c r="F231" s="241"/>
      <c r="J231" s="172"/>
    </row>
    <row r="232" spans="1:10" s="242" customFormat="1" ht="12.75" customHeight="1">
      <c r="A232" s="191" t="s">
        <v>662</v>
      </c>
      <c r="B232" s="87" t="s">
        <v>507</v>
      </c>
      <c r="C232" s="259" t="s">
        <v>619</v>
      </c>
      <c r="D232" s="241">
        <f>D233+D235+D236+D237</f>
        <v>31348</v>
      </c>
      <c r="E232" s="241">
        <f>E233+E235+E236+E237</f>
        <v>33568.6</v>
      </c>
      <c r="F232" s="241">
        <f>F233+F235+F236+F237</f>
        <v>34948.5</v>
      </c>
      <c r="J232" s="172"/>
    </row>
    <row r="233" spans="1:10" s="242" customFormat="1" ht="12.75">
      <c r="A233" s="191"/>
      <c r="B233" s="87"/>
      <c r="C233" s="259" t="s">
        <v>620</v>
      </c>
      <c r="D233" s="241">
        <f>'Таблица 6'!D51</f>
        <v>31348</v>
      </c>
      <c r="E233" s="241">
        <f>'Таблица 6'!E51</f>
        <v>33568.6</v>
      </c>
      <c r="F233" s="241">
        <f>'Таблица 6'!F51</f>
        <v>34948.5</v>
      </c>
      <c r="J233" s="172"/>
    </row>
    <row r="234" spans="1:10" s="242" customFormat="1" ht="27" customHeight="1">
      <c r="A234" s="191"/>
      <c r="B234" s="87"/>
      <c r="C234" s="260" t="s">
        <v>622</v>
      </c>
      <c r="D234" s="241"/>
      <c r="E234" s="241"/>
      <c r="F234" s="241"/>
      <c r="J234" s="172"/>
    </row>
    <row r="235" spans="1:10" s="242" customFormat="1" ht="12.75">
      <c r="A235" s="191"/>
      <c r="B235" s="87"/>
      <c r="C235" s="259" t="s">
        <v>627</v>
      </c>
      <c r="D235" s="241"/>
      <c r="E235" s="241"/>
      <c r="F235" s="241"/>
      <c r="J235" s="172"/>
    </row>
    <row r="236" spans="1:10" s="242" customFormat="1" ht="12.75">
      <c r="A236" s="191"/>
      <c r="B236" s="87"/>
      <c r="C236" s="259" t="s">
        <v>624</v>
      </c>
      <c r="D236" s="241"/>
      <c r="E236" s="241"/>
      <c r="F236" s="241"/>
      <c r="J236" s="172"/>
    </row>
    <row r="237" spans="1:10" s="242" customFormat="1" ht="12.75">
      <c r="A237" s="191"/>
      <c r="B237" s="87"/>
      <c r="C237" s="259" t="s">
        <v>625</v>
      </c>
      <c r="D237" s="241"/>
      <c r="E237" s="241"/>
      <c r="F237" s="241"/>
      <c r="J237" s="172"/>
    </row>
    <row r="238" spans="1:10" s="242" customFormat="1" ht="12.75">
      <c r="A238" s="191"/>
      <c r="B238" s="87"/>
      <c r="C238" s="259" t="s">
        <v>626</v>
      </c>
      <c r="D238" s="241"/>
      <c r="E238" s="241"/>
      <c r="F238" s="241"/>
      <c r="J238" s="172"/>
    </row>
    <row r="239" spans="1:10" s="242" customFormat="1" ht="24.75" customHeight="1">
      <c r="A239" s="191" t="s">
        <v>663</v>
      </c>
      <c r="B239" s="87" t="s">
        <v>664</v>
      </c>
      <c r="C239" s="259" t="s">
        <v>619</v>
      </c>
      <c r="D239" s="241">
        <f>D240+D242+D243+D244</f>
        <v>52756.7</v>
      </c>
      <c r="E239" s="241">
        <f>E240+E242+E243+E244</f>
        <v>62589.8</v>
      </c>
      <c r="F239" s="241">
        <f>F240+F242+F243+F244</f>
        <v>68292.1</v>
      </c>
      <c r="J239" s="172"/>
    </row>
    <row r="240" spans="1:10" s="242" customFormat="1" ht="24.75" customHeight="1">
      <c r="A240" s="191"/>
      <c r="B240" s="87"/>
      <c r="C240" s="259" t="s">
        <v>620</v>
      </c>
      <c r="D240" s="241">
        <f>'Таблица 6'!D52</f>
        <v>52756.7</v>
      </c>
      <c r="E240" s="241">
        <f>'Таблица 6'!E52</f>
        <v>62589.8</v>
      </c>
      <c r="F240" s="241">
        <f>'Таблица 6'!F52</f>
        <v>68292.1</v>
      </c>
      <c r="J240" s="172"/>
    </row>
    <row r="241" spans="1:10" s="242" customFormat="1" ht="24.75" customHeight="1">
      <c r="A241" s="191"/>
      <c r="B241" s="87"/>
      <c r="C241" s="260" t="s">
        <v>622</v>
      </c>
      <c r="D241" s="241"/>
      <c r="E241" s="241"/>
      <c r="F241" s="241"/>
      <c r="J241" s="172"/>
    </row>
    <row r="242" spans="1:10" s="242" customFormat="1" ht="24.75" customHeight="1">
      <c r="A242" s="191"/>
      <c r="B242" s="87"/>
      <c r="C242" s="259" t="s">
        <v>627</v>
      </c>
      <c r="D242" s="241"/>
      <c r="E242" s="241"/>
      <c r="F242" s="241"/>
      <c r="J242" s="172"/>
    </row>
    <row r="243" spans="1:10" s="242" customFormat="1" ht="24.75" customHeight="1">
      <c r="A243" s="191"/>
      <c r="B243" s="87"/>
      <c r="C243" s="259" t="s">
        <v>624</v>
      </c>
      <c r="D243" s="241"/>
      <c r="E243" s="241"/>
      <c r="F243" s="241"/>
      <c r="J243" s="172"/>
    </row>
    <row r="244" spans="1:10" s="242" customFormat="1" ht="24.75" customHeight="1">
      <c r="A244" s="191"/>
      <c r="B244" s="87"/>
      <c r="C244" s="259" t="s">
        <v>625</v>
      </c>
      <c r="D244" s="241"/>
      <c r="E244" s="241"/>
      <c r="F244" s="241"/>
      <c r="J244" s="172"/>
    </row>
    <row r="245" spans="1:10" s="242" customFormat="1" ht="24.75" customHeight="1">
      <c r="A245" s="191"/>
      <c r="B245" s="87"/>
      <c r="C245" s="259" t="s">
        <v>626</v>
      </c>
      <c r="D245" s="241"/>
      <c r="E245" s="241"/>
      <c r="F245" s="241"/>
      <c r="J245" s="172"/>
    </row>
    <row r="246" spans="1:10" s="242" customFormat="1" ht="12.75" customHeight="1">
      <c r="A246" s="191" t="s">
        <v>665</v>
      </c>
      <c r="B246" s="87" t="s">
        <v>511</v>
      </c>
      <c r="C246" s="259" t="s">
        <v>619</v>
      </c>
      <c r="D246" s="241">
        <f>D247+D249+D250+D251</f>
        <v>206630.4</v>
      </c>
      <c r="E246" s="241">
        <f>E247+E249+E250+E251</f>
        <v>268123</v>
      </c>
      <c r="F246" s="241">
        <f>F247+F249+F250+F251</f>
        <v>303267</v>
      </c>
      <c r="J246" s="172"/>
    </row>
    <row r="247" spans="1:10" s="242" customFormat="1" ht="12.75">
      <c r="A247" s="191"/>
      <c r="B247" s="87"/>
      <c r="C247" s="259" t="s">
        <v>620</v>
      </c>
      <c r="D247" s="241">
        <f>'Таблица 6'!D53</f>
        <v>206630.4</v>
      </c>
      <c r="E247" s="241">
        <f>'Таблица 6'!E53</f>
        <v>268123</v>
      </c>
      <c r="F247" s="241">
        <f>'Таблица 6'!F53</f>
        <v>303267</v>
      </c>
      <c r="J247" s="172"/>
    </row>
    <row r="248" spans="1:10" s="242" customFormat="1" ht="27" customHeight="1">
      <c r="A248" s="191"/>
      <c r="B248" s="87"/>
      <c r="C248" s="260" t="s">
        <v>622</v>
      </c>
      <c r="D248" s="241">
        <f>'Таблица 6'!D54</f>
        <v>6788</v>
      </c>
      <c r="E248" s="241">
        <f>'Таблица 6'!E54</f>
        <v>0</v>
      </c>
      <c r="F248" s="241">
        <f>'Таблица 6'!F54</f>
        <v>0</v>
      </c>
      <c r="J248" s="172"/>
    </row>
    <row r="249" spans="1:10" s="242" customFormat="1" ht="12.75">
      <c r="A249" s="191"/>
      <c r="B249" s="87"/>
      <c r="C249" s="259" t="s">
        <v>627</v>
      </c>
      <c r="D249" s="241"/>
      <c r="E249" s="241"/>
      <c r="F249" s="241"/>
      <c r="J249" s="172"/>
    </row>
    <row r="250" spans="1:10" s="242" customFormat="1" ht="12.75">
      <c r="A250" s="191"/>
      <c r="B250" s="87"/>
      <c r="C250" s="259" t="s">
        <v>624</v>
      </c>
      <c r="D250" s="241"/>
      <c r="E250" s="241"/>
      <c r="F250" s="241"/>
      <c r="J250" s="172"/>
    </row>
    <row r="251" spans="1:10" s="242" customFormat="1" ht="12.75">
      <c r="A251" s="191"/>
      <c r="B251" s="87"/>
      <c r="C251" s="259" t="s">
        <v>625</v>
      </c>
      <c r="D251" s="241"/>
      <c r="E251" s="241"/>
      <c r="F251" s="241"/>
      <c r="J251" s="172"/>
    </row>
    <row r="252" spans="1:10" s="242" customFormat="1" ht="12.75">
      <c r="A252" s="191"/>
      <c r="B252" s="87"/>
      <c r="C252" s="259" t="s">
        <v>626</v>
      </c>
      <c r="D252" s="241"/>
      <c r="E252" s="241"/>
      <c r="F252" s="241"/>
      <c r="J252" s="172"/>
    </row>
    <row r="253" spans="1:10" s="242" customFormat="1" ht="12.75" customHeight="1">
      <c r="A253" s="191" t="s">
        <v>666</v>
      </c>
      <c r="B253" s="87" t="s">
        <v>513</v>
      </c>
      <c r="C253" s="259" t="s">
        <v>619</v>
      </c>
      <c r="D253" s="241">
        <f>D254+D256+D257+D258</f>
        <v>627782.5</v>
      </c>
      <c r="E253" s="241">
        <f>E254+E256+E257+E258</f>
        <v>999210.7</v>
      </c>
      <c r="F253" s="241">
        <f>F254+F256+F257+F258</f>
        <v>1099179.7</v>
      </c>
      <c r="J253" s="172"/>
    </row>
    <row r="254" spans="1:10" s="242" customFormat="1" ht="12.75">
      <c r="A254" s="191"/>
      <c r="B254" s="87"/>
      <c r="C254" s="259" t="s">
        <v>620</v>
      </c>
      <c r="D254" s="241">
        <f>'Таблица 6'!D55</f>
        <v>627782.5</v>
      </c>
      <c r="E254" s="241">
        <f>'Таблица 6'!E55</f>
        <v>999210.7</v>
      </c>
      <c r="F254" s="241">
        <f>'Таблица 6'!F55</f>
        <v>1099179.7</v>
      </c>
      <c r="J254" s="172"/>
    </row>
    <row r="255" spans="1:10" s="242" customFormat="1" ht="25.5" customHeight="1">
      <c r="A255" s="191"/>
      <c r="B255" s="87"/>
      <c r="C255" s="260" t="s">
        <v>622</v>
      </c>
      <c r="D255" s="241"/>
      <c r="E255" s="241"/>
      <c r="F255" s="241"/>
      <c r="J255" s="172"/>
    </row>
    <row r="256" spans="1:10" s="242" customFormat="1" ht="12.75">
      <c r="A256" s="191"/>
      <c r="B256" s="87"/>
      <c r="C256" s="259" t="s">
        <v>627</v>
      </c>
      <c r="D256" s="241"/>
      <c r="E256" s="241"/>
      <c r="F256" s="241"/>
      <c r="J256" s="172"/>
    </row>
    <row r="257" spans="1:10" s="242" customFormat="1" ht="12.75">
      <c r="A257" s="191"/>
      <c r="B257" s="87"/>
      <c r="C257" s="259" t="s">
        <v>624</v>
      </c>
      <c r="D257" s="241"/>
      <c r="E257" s="241"/>
      <c r="F257" s="241"/>
      <c r="J257" s="172"/>
    </row>
    <row r="258" spans="1:10" s="242" customFormat="1" ht="12.75">
      <c r="A258" s="191"/>
      <c r="B258" s="87"/>
      <c r="C258" s="259" t="s">
        <v>625</v>
      </c>
      <c r="D258" s="241"/>
      <c r="E258" s="241"/>
      <c r="F258" s="241"/>
      <c r="J258" s="172"/>
    </row>
    <row r="259" spans="1:10" s="242" customFormat="1" ht="12.75">
      <c r="A259" s="191"/>
      <c r="B259" s="87"/>
      <c r="C259" s="259" t="s">
        <v>626</v>
      </c>
      <c r="D259" s="241"/>
      <c r="E259" s="241"/>
      <c r="F259" s="241"/>
      <c r="J259" s="172"/>
    </row>
    <row r="260" spans="1:10" s="242" customFormat="1" ht="12.75" customHeight="1">
      <c r="A260" s="191" t="s">
        <v>667</v>
      </c>
      <c r="B260" s="87" t="s">
        <v>515</v>
      </c>
      <c r="C260" s="259" t="s">
        <v>619</v>
      </c>
      <c r="D260" s="241">
        <f>D261+D263+D264+D265</f>
        <v>378746.5</v>
      </c>
      <c r="E260" s="241">
        <f>E261+E263+E264+E265</f>
        <v>396773.9</v>
      </c>
      <c r="F260" s="241">
        <f>F261+F263+F264+F265</f>
        <v>415892.8</v>
      </c>
      <c r="J260" s="172"/>
    </row>
    <row r="261" spans="1:10" s="242" customFormat="1" ht="12.75">
      <c r="A261" s="191"/>
      <c r="B261" s="87"/>
      <c r="C261" s="259" t="s">
        <v>620</v>
      </c>
      <c r="D261" s="241">
        <f>'Таблица 6'!D56</f>
        <v>378746.5</v>
      </c>
      <c r="E261" s="241">
        <f>'Таблица 6'!E56</f>
        <v>396773.9</v>
      </c>
      <c r="F261" s="241">
        <f>'Таблица 6'!F56</f>
        <v>415892.8</v>
      </c>
      <c r="J261" s="172"/>
    </row>
    <row r="262" spans="1:10" s="242" customFormat="1" ht="24" customHeight="1">
      <c r="A262" s="191"/>
      <c r="B262" s="87"/>
      <c r="C262" s="260" t="s">
        <v>622</v>
      </c>
      <c r="D262" s="241">
        <f>'Таблица 6'!D57</f>
        <v>284059.9</v>
      </c>
      <c r="E262" s="241">
        <f>'Таблица 6'!E57</f>
        <v>297580.3</v>
      </c>
      <c r="F262" s="241">
        <f>'Таблица 6'!F57</f>
        <v>311919.6</v>
      </c>
      <c r="J262" s="172"/>
    </row>
    <row r="263" spans="1:10" s="242" customFormat="1" ht="12.75">
      <c r="A263" s="191"/>
      <c r="B263" s="87"/>
      <c r="C263" s="259" t="s">
        <v>627</v>
      </c>
      <c r="D263" s="241"/>
      <c r="E263" s="241"/>
      <c r="F263" s="241"/>
      <c r="J263" s="172"/>
    </row>
    <row r="264" spans="1:10" s="242" customFormat="1" ht="12.75">
      <c r="A264" s="191"/>
      <c r="B264" s="87"/>
      <c r="C264" s="259" t="s">
        <v>624</v>
      </c>
      <c r="D264" s="241"/>
      <c r="E264" s="241"/>
      <c r="F264" s="241"/>
      <c r="J264" s="172"/>
    </row>
    <row r="265" spans="1:10" s="242" customFormat="1" ht="12.75">
      <c r="A265" s="191"/>
      <c r="B265" s="87"/>
      <c r="C265" s="259" t="s">
        <v>625</v>
      </c>
      <c r="D265" s="241"/>
      <c r="E265" s="241"/>
      <c r="F265" s="241"/>
      <c r="J265" s="172"/>
    </row>
    <row r="266" spans="1:10" s="242" customFormat="1" ht="12.75">
      <c r="A266" s="191"/>
      <c r="B266" s="87"/>
      <c r="C266" s="259" t="s">
        <v>626</v>
      </c>
      <c r="D266" s="241"/>
      <c r="E266" s="241"/>
      <c r="F266" s="241"/>
      <c r="J266" s="172"/>
    </row>
    <row r="267" spans="1:10" s="242" customFormat="1" ht="12.75" customHeight="1">
      <c r="A267" s="191" t="s">
        <v>668</v>
      </c>
      <c r="B267" s="87" t="s">
        <v>517</v>
      </c>
      <c r="C267" s="259" t="s">
        <v>619</v>
      </c>
      <c r="D267" s="241">
        <f>D268+D270+D271+D272</f>
        <v>50</v>
      </c>
      <c r="E267" s="241">
        <f>E268+E270+E271+E272</f>
        <v>0</v>
      </c>
      <c r="F267" s="241">
        <f>F268+F270+F271+F272</f>
        <v>0</v>
      </c>
      <c r="J267" s="172"/>
    </row>
    <row r="268" spans="1:10" s="242" customFormat="1" ht="12.75">
      <c r="A268" s="191"/>
      <c r="B268" s="87"/>
      <c r="C268" s="259" t="s">
        <v>620</v>
      </c>
      <c r="D268" s="241">
        <f>'Таблица 6'!D58</f>
        <v>50</v>
      </c>
      <c r="E268" s="241">
        <f>'Таблица 6'!E58</f>
        <v>0</v>
      </c>
      <c r="F268" s="241">
        <f>'Таблица 6'!F58</f>
        <v>0</v>
      </c>
      <c r="J268" s="172"/>
    </row>
    <row r="269" spans="1:10" s="242" customFormat="1" ht="24" customHeight="1">
      <c r="A269" s="191"/>
      <c r="B269" s="87"/>
      <c r="C269" s="260" t="s">
        <v>622</v>
      </c>
      <c r="D269" s="241"/>
      <c r="E269" s="241"/>
      <c r="F269" s="241"/>
      <c r="J269" s="172"/>
    </row>
    <row r="270" spans="1:10" s="242" customFormat="1" ht="12.75">
      <c r="A270" s="191"/>
      <c r="B270" s="87"/>
      <c r="C270" s="259" t="s">
        <v>627</v>
      </c>
      <c r="D270" s="241"/>
      <c r="E270" s="241"/>
      <c r="F270" s="241"/>
      <c r="J270" s="172"/>
    </row>
    <row r="271" spans="1:10" s="242" customFormat="1" ht="12.75">
      <c r="A271" s="191"/>
      <c r="B271" s="87"/>
      <c r="C271" s="259" t="s">
        <v>624</v>
      </c>
      <c r="D271" s="241"/>
      <c r="E271" s="241"/>
      <c r="F271" s="241"/>
      <c r="J271" s="172"/>
    </row>
    <row r="272" spans="1:10" s="242" customFormat="1" ht="12.75">
      <c r="A272" s="191"/>
      <c r="B272" s="87"/>
      <c r="C272" s="259" t="s">
        <v>625</v>
      </c>
      <c r="D272" s="241"/>
      <c r="E272" s="241"/>
      <c r="F272" s="241"/>
      <c r="J272" s="172"/>
    </row>
    <row r="273" spans="1:10" s="242" customFormat="1" ht="12.75">
      <c r="A273" s="191"/>
      <c r="B273" s="87"/>
      <c r="C273" s="259" t="s">
        <v>626</v>
      </c>
      <c r="D273" s="241"/>
      <c r="E273" s="241"/>
      <c r="F273" s="241"/>
      <c r="J273" s="172"/>
    </row>
    <row r="274" spans="1:10" s="242" customFormat="1" ht="12.75" customHeight="1">
      <c r="A274" s="191" t="s">
        <v>669</v>
      </c>
      <c r="B274" s="87" t="s">
        <v>601</v>
      </c>
      <c r="C274" s="259" t="s">
        <v>619</v>
      </c>
      <c r="D274" s="241">
        <f>D275+D277+D278+D279</f>
        <v>436.5</v>
      </c>
      <c r="E274" s="241">
        <f>E275+E277+E278+E279</f>
        <v>0</v>
      </c>
      <c r="F274" s="241">
        <f>F275+F277+F278+F279</f>
        <v>0</v>
      </c>
      <c r="J274" s="172"/>
    </row>
    <row r="275" spans="1:10" s="242" customFormat="1" ht="12.75">
      <c r="A275" s="191"/>
      <c r="B275" s="87"/>
      <c r="C275" s="259" t="s">
        <v>620</v>
      </c>
      <c r="D275" s="241">
        <f>'Таблица 6'!D59</f>
        <v>436.5</v>
      </c>
      <c r="E275" s="241">
        <f>'Таблица 6'!E59</f>
        <v>0</v>
      </c>
      <c r="F275" s="241">
        <f>'Таблица 6'!F59</f>
        <v>0</v>
      </c>
      <c r="J275" s="172"/>
    </row>
    <row r="276" spans="1:10" s="242" customFormat="1" ht="24.75" customHeight="1">
      <c r="A276" s="191"/>
      <c r="B276" s="87"/>
      <c r="C276" s="260" t="s">
        <v>622</v>
      </c>
      <c r="D276" s="241">
        <f>'Таблица 6'!D59</f>
        <v>436.5</v>
      </c>
      <c r="E276" s="241">
        <f>'Таблица 6'!E59</f>
        <v>0</v>
      </c>
      <c r="F276" s="241">
        <f>'Таблица 6'!F59</f>
        <v>0</v>
      </c>
      <c r="J276" s="172"/>
    </row>
    <row r="277" spans="1:10" s="242" customFormat="1" ht="12.75">
      <c r="A277" s="191"/>
      <c r="B277" s="87"/>
      <c r="C277" s="259" t="s">
        <v>627</v>
      </c>
      <c r="D277" s="241"/>
      <c r="E277" s="241"/>
      <c r="F277" s="241"/>
      <c r="J277" s="172"/>
    </row>
    <row r="278" spans="1:10" s="242" customFormat="1" ht="12.75">
      <c r="A278" s="191"/>
      <c r="B278" s="87"/>
      <c r="C278" s="259" t="s">
        <v>624</v>
      </c>
      <c r="D278" s="241"/>
      <c r="E278" s="241"/>
      <c r="F278" s="241"/>
      <c r="J278" s="172"/>
    </row>
    <row r="279" spans="1:10" s="242" customFormat="1" ht="12.75">
      <c r="A279" s="191"/>
      <c r="B279" s="87"/>
      <c r="C279" s="259" t="s">
        <v>625</v>
      </c>
      <c r="D279" s="241"/>
      <c r="E279" s="241"/>
      <c r="F279" s="241"/>
      <c r="J279" s="172"/>
    </row>
    <row r="280" spans="1:10" s="242" customFormat="1" ht="12.75">
      <c r="A280" s="191"/>
      <c r="B280" s="87"/>
      <c r="C280" s="259" t="s">
        <v>626</v>
      </c>
      <c r="D280" s="241"/>
      <c r="E280" s="241"/>
      <c r="F280" s="241"/>
      <c r="J280" s="172"/>
    </row>
    <row r="281" spans="1:10" s="242" customFormat="1" ht="12.75" customHeight="1">
      <c r="A281" s="191" t="s">
        <v>670</v>
      </c>
      <c r="B281" s="92" t="s">
        <v>521</v>
      </c>
      <c r="C281" s="259" t="s">
        <v>619</v>
      </c>
      <c r="D281" s="241">
        <f>D282+D284+D285+D286</f>
        <v>0</v>
      </c>
      <c r="E281" s="241">
        <f>E282+E284+E285+E286</f>
        <v>0</v>
      </c>
      <c r="F281" s="241">
        <f>F282+F284+F285+F286</f>
        <v>0</v>
      </c>
      <c r="J281" s="172"/>
    </row>
    <row r="282" spans="1:10" s="242" customFormat="1" ht="12.75">
      <c r="A282" s="191"/>
      <c r="B282" s="92"/>
      <c r="C282" s="259" t="s">
        <v>620</v>
      </c>
      <c r="D282" s="241"/>
      <c r="E282" s="241"/>
      <c r="F282" s="241"/>
      <c r="J282" s="172"/>
    </row>
    <row r="283" spans="1:10" s="242" customFormat="1" ht="24.75" customHeight="1">
      <c r="A283" s="191"/>
      <c r="B283" s="92"/>
      <c r="C283" s="260" t="s">
        <v>622</v>
      </c>
      <c r="D283" s="241"/>
      <c r="E283" s="241"/>
      <c r="F283" s="241"/>
      <c r="J283" s="172"/>
    </row>
    <row r="284" spans="1:10" s="242" customFormat="1" ht="12.75">
      <c r="A284" s="191"/>
      <c r="B284" s="92"/>
      <c r="C284" s="259" t="s">
        <v>627</v>
      </c>
      <c r="D284" s="241"/>
      <c r="E284" s="241"/>
      <c r="F284" s="241"/>
      <c r="J284" s="172"/>
    </row>
    <row r="285" spans="1:10" s="242" customFormat="1" ht="12.75">
      <c r="A285" s="191"/>
      <c r="B285" s="92"/>
      <c r="C285" s="259" t="s">
        <v>624</v>
      </c>
      <c r="D285" s="241"/>
      <c r="E285" s="241"/>
      <c r="F285" s="241"/>
      <c r="J285" s="172"/>
    </row>
    <row r="286" spans="1:10" s="242" customFormat="1" ht="12.75">
      <c r="A286" s="191"/>
      <c r="B286" s="92"/>
      <c r="C286" s="259" t="s">
        <v>625</v>
      </c>
      <c r="D286" s="241"/>
      <c r="E286" s="241"/>
      <c r="F286" s="241"/>
      <c r="J286" s="172"/>
    </row>
    <row r="287" spans="1:10" s="242" customFormat="1" ht="12.75">
      <c r="A287" s="191"/>
      <c r="B287" s="92"/>
      <c r="C287" s="259" t="s">
        <v>626</v>
      </c>
      <c r="D287" s="241"/>
      <c r="E287" s="241"/>
      <c r="F287" s="241"/>
      <c r="J287" s="172"/>
    </row>
    <row r="288" spans="1:10" s="242" customFormat="1" ht="12.75" customHeight="1">
      <c r="A288" s="191" t="s">
        <v>671</v>
      </c>
      <c r="B288" s="92" t="s">
        <v>523</v>
      </c>
      <c r="C288" s="259" t="s">
        <v>619</v>
      </c>
      <c r="D288" s="241">
        <f>D289+D291+D292+D293</f>
        <v>0</v>
      </c>
      <c r="E288" s="241">
        <f>E289+E291+E292+E293</f>
        <v>0</v>
      </c>
      <c r="F288" s="241">
        <f>F289+F291+F292+F293</f>
        <v>0</v>
      </c>
      <c r="J288" s="172"/>
    </row>
    <row r="289" spans="1:10" s="242" customFormat="1" ht="12.75">
      <c r="A289" s="191"/>
      <c r="B289" s="92"/>
      <c r="C289" s="259" t="s">
        <v>620</v>
      </c>
      <c r="D289" s="241"/>
      <c r="E289" s="241"/>
      <c r="F289" s="241"/>
      <c r="J289" s="172"/>
    </row>
    <row r="290" spans="1:10" s="242" customFormat="1" ht="23.25" customHeight="1">
      <c r="A290" s="191"/>
      <c r="B290" s="92"/>
      <c r="C290" s="260" t="s">
        <v>622</v>
      </c>
      <c r="D290" s="241"/>
      <c r="E290" s="241"/>
      <c r="F290" s="241"/>
      <c r="J290" s="172"/>
    </row>
    <row r="291" spans="1:10" s="242" customFormat="1" ht="12.75">
      <c r="A291" s="191"/>
      <c r="B291" s="92"/>
      <c r="C291" s="259" t="s">
        <v>627</v>
      </c>
      <c r="D291" s="241"/>
      <c r="E291" s="241"/>
      <c r="F291" s="241"/>
      <c r="J291" s="172"/>
    </row>
    <row r="292" spans="1:10" s="242" customFormat="1" ht="12.75">
      <c r="A292" s="191"/>
      <c r="B292" s="92"/>
      <c r="C292" s="259" t="s">
        <v>624</v>
      </c>
      <c r="D292" s="241"/>
      <c r="E292" s="241"/>
      <c r="F292" s="241"/>
      <c r="J292" s="172"/>
    </row>
    <row r="293" spans="1:10" s="242" customFormat="1" ht="12.75">
      <c r="A293" s="191"/>
      <c r="B293" s="92"/>
      <c r="C293" s="259" t="s">
        <v>625</v>
      </c>
      <c r="D293" s="241"/>
      <c r="E293" s="241"/>
      <c r="F293" s="241"/>
      <c r="J293" s="172"/>
    </row>
    <row r="294" spans="1:10" s="242" customFormat="1" ht="12.75">
      <c r="A294" s="191"/>
      <c r="B294" s="92"/>
      <c r="C294" s="259" t="s">
        <v>626</v>
      </c>
      <c r="D294" s="241"/>
      <c r="E294" s="241"/>
      <c r="F294" s="241"/>
      <c r="J294" s="172"/>
    </row>
    <row r="295" spans="1:10" s="242" customFormat="1" ht="12.75" customHeight="1">
      <c r="A295" s="191" t="s">
        <v>672</v>
      </c>
      <c r="B295" s="92" t="s">
        <v>525</v>
      </c>
      <c r="C295" s="259" t="s">
        <v>619</v>
      </c>
      <c r="D295" s="241">
        <f>D296+D298+D299+D300</f>
        <v>0</v>
      </c>
      <c r="E295" s="241">
        <f>E296+E298+E299+E300</f>
        <v>0</v>
      </c>
      <c r="F295" s="241">
        <f>F296+F298+F299+F300</f>
        <v>0</v>
      </c>
      <c r="J295" s="172"/>
    </row>
    <row r="296" spans="1:10" s="242" customFormat="1" ht="12.75">
      <c r="A296" s="191"/>
      <c r="B296" s="92"/>
      <c r="C296" s="259" t="s">
        <v>620</v>
      </c>
      <c r="D296" s="241"/>
      <c r="E296" s="241"/>
      <c r="F296" s="241"/>
      <c r="J296" s="172"/>
    </row>
    <row r="297" spans="1:10" s="242" customFormat="1" ht="23.25" customHeight="1">
      <c r="A297" s="191"/>
      <c r="B297" s="92"/>
      <c r="C297" s="260" t="s">
        <v>622</v>
      </c>
      <c r="D297" s="241"/>
      <c r="E297" s="241"/>
      <c r="F297" s="241"/>
      <c r="J297" s="172"/>
    </row>
    <row r="298" spans="1:10" s="242" customFormat="1" ht="12.75">
      <c r="A298" s="191"/>
      <c r="B298" s="92"/>
      <c r="C298" s="259" t="s">
        <v>627</v>
      </c>
      <c r="D298" s="241"/>
      <c r="E298" s="241"/>
      <c r="F298" s="241"/>
      <c r="J298" s="172"/>
    </row>
    <row r="299" spans="1:10" s="242" customFormat="1" ht="12.75">
      <c r="A299" s="191"/>
      <c r="B299" s="92"/>
      <c r="C299" s="259" t="s">
        <v>624</v>
      </c>
      <c r="D299" s="241"/>
      <c r="E299" s="241"/>
      <c r="F299" s="241"/>
      <c r="J299" s="172"/>
    </row>
    <row r="300" spans="1:10" s="242" customFormat="1" ht="12.75">
      <c r="A300" s="191"/>
      <c r="B300" s="92"/>
      <c r="C300" s="259" t="s">
        <v>625</v>
      </c>
      <c r="D300" s="241"/>
      <c r="E300" s="241"/>
      <c r="F300" s="241"/>
      <c r="J300" s="172"/>
    </row>
    <row r="301" spans="1:10" s="242" customFormat="1" ht="12.75">
      <c r="A301" s="191"/>
      <c r="B301" s="92"/>
      <c r="C301" s="259" t="s">
        <v>626</v>
      </c>
      <c r="D301" s="241"/>
      <c r="E301" s="241"/>
      <c r="F301" s="241"/>
      <c r="J301" s="172"/>
    </row>
    <row r="302" spans="1:10" s="242" customFormat="1" ht="12.75" customHeight="1">
      <c r="A302" s="191" t="s">
        <v>673</v>
      </c>
      <c r="B302" s="92" t="s">
        <v>527</v>
      </c>
      <c r="C302" s="259" t="s">
        <v>619</v>
      </c>
      <c r="D302" s="241">
        <f>D303+D305+D306+D307</f>
        <v>0</v>
      </c>
      <c r="E302" s="241">
        <f>E303+E305+E306+E307</f>
        <v>0</v>
      </c>
      <c r="F302" s="241">
        <f>F303+F305+F306+F307</f>
        <v>0</v>
      </c>
      <c r="J302" s="172"/>
    </row>
    <row r="303" spans="1:10" s="242" customFormat="1" ht="12.75">
      <c r="A303" s="191"/>
      <c r="B303" s="92"/>
      <c r="C303" s="259" t="s">
        <v>620</v>
      </c>
      <c r="D303" s="241"/>
      <c r="E303" s="241"/>
      <c r="F303" s="241"/>
      <c r="J303" s="172"/>
    </row>
    <row r="304" spans="1:10" s="242" customFormat="1" ht="25.5" customHeight="1">
      <c r="A304" s="191"/>
      <c r="B304" s="92"/>
      <c r="C304" s="260" t="s">
        <v>622</v>
      </c>
      <c r="D304" s="241"/>
      <c r="E304" s="241"/>
      <c r="F304" s="241"/>
      <c r="J304" s="172"/>
    </row>
    <row r="305" spans="1:10" s="242" customFormat="1" ht="12.75">
      <c r="A305" s="191"/>
      <c r="B305" s="92"/>
      <c r="C305" s="259" t="s">
        <v>627</v>
      </c>
      <c r="D305" s="241"/>
      <c r="E305" s="241"/>
      <c r="F305" s="241"/>
      <c r="J305" s="172"/>
    </row>
    <row r="306" spans="1:10" s="242" customFormat="1" ht="12.75">
      <c r="A306" s="191"/>
      <c r="B306" s="92"/>
      <c r="C306" s="259" t="s">
        <v>624</v>
      </c>
      <c r="D306" s="241"/>
      <c r="E306" s="241"/>
      <c r="F306" s="241"/>
      <c r="J306" s="172"/>
    </row>
    <row r="307" spans="1:10" s="242" customFormat="1" ht="12.75">
      <c r="A307" s="191"/>
      <c r="B307" s="92"/>
      <c r="C307" s="259" t="s">
        <v>625</v>
      </c>
      <c r="D307" s="241"/>
      <c r="E307" s="241"/>
      <c r="F307" s="241"/>
      <c r="J307" s="172"/>
    </row>
    <row r="308" spans="1:10" s="242" customFormat="1" ht="12.75">
      <c r="A308" s="191"/>
      <c r="B308" s="92"/>
      <c r="C308" s="259" t="s">
        <v>626</v>
      </c>
      <c r="D308" s="241"/>
      <c r="E308" s="241"/>
      <c r="F308" s="241"/>
      <c r="J308" s="172"/>
    </row>
    <row r="309" spans="1:11" s="242" customFormat="1" ht="12.75" customHeight="1">
      <c r="A309" s="262" t="s">
        <v>528</v>
      </c>
      <c r="B309" s="263" t="s">
        <v>674</v>
      </c>
      <c r="C309" s="264" t="s">
        <v>619</v>
      </c>
      <c r="D309" s="256">
        <f>D310+D312+D313+D314</f>
        <v>2491253.2830800004</v>
      </c>
      <c r="E309" s="256">
        <f>E310+E312+E313+E314</f>
        <v>2287387.1999999997</v>
      </c>
      <c r="F309" s="256">
        <f>F310+F312+F313+F314</f>
        <v>2312276.6</v>
      </c>
      <c r="G309" s="242">
        <f>'Таблица 6'!D65+'Таблица 6'!D66</f>
        <v>2491253.2830800004</v>
      </c>
      <c r="H309" s="242">
        <f>'Таблица 6'!E65+'Таблица 6'!E66</f>
        <v>2287387.1999999997</v>
      </c>
      <c r="I309" s="242">
        <f>'Таблица 6'!F65+'Таблица 6'!F66</f>
        <v>2312276.6</v>
      </c>
      <c r="J309" s="172"/>
      <c r="K309" s="242">
        <f>G309+H309+I309</f>
        <v>7090917.083079999</v>
      </c>
    </row>
    <row r="310" spans="1:10" s="242" customFormat="1" ht="12.75">
      <c r="A310" s="262"/>
      <c r="B310" s="263"/>
      <c r="C310" s="264" t="s">
        <v>620</v>
      </c>
      <c r="D310" s="256">
        <f aca="true" t="shared" si="2" ref="D310:F315">D317+D324+D331+D338+D345+D352+D359+D366+D373+D380+D387+D394+D401+D408+D415</f>
        <v>2491253.2830800004</v>
      </c>
      <c r="E310" s="256">
        <f t="shared" si="2"/>
        <v>2287387.1999999997</v>
      </c>
      <c r="F310" s="256">
        <f t="shared" si="2"/>
        <v>2312276.6</v>
      </c>
      <c r="G310" s="242">
        <f>G309-D309</f>
        <v>0</v>
      </c>
      <c r="H310" s="242">
        <f>H309-E309</f>
        <v>0</v>
      </c>
      <c r="I310" s="242">
        <f>I309-F309</f>
        <v>0</v>
      </c>
      <c r="J310" s="172"/>
    </row>
    <row r="311" spans="1:10" s="242" customFormat="1" ht="25.5" customHeight="1">
      <c r="A311" s="262"/>
      <c r="B311" s="263"/>
      <c r="C311" s="264" t="s">
        <v>622</v>
      </c>
      <c r="D311" s="256">
        <f t="shared" si="2"/>
        <v>3846.1000000000004</v>
      </c>
      <c r="E311" s="256">
        <f t="shared" si="2"/>
        <v>414.5</v>
      </c>
      <c r="F311" s="256">
        <f t="shared" si="2"/>
        <v>435.3</v>
      </c>
      <c r="J311" s="172"/>
    </row>
    <row r="312" spans="1:10" s="242" customFormat="1" ht="12.75">
      <c r="A312" s="262"/>
      <c r="B312" s="263"/>
      <c r="C312" s="264" t="s">
        <v>627</v>
      </c>
      <c r="D312" s="256">
        <f t="shared" si="2"/>
        <v>0</v>
      </c>
      <c r="E312" s="256">
        <f t="shared" si="2"/>
        <v>0</v>
      </c>
      <c r="F312" s="256">
        <f t="shared" si="2"/>
        <v>0</v>
      </c>
      <c r="J312" s="172"/>
    </row>
    <row r="313" spans="1:10" s="242" customFormat="1" ht="12.75">
      <c r="A313" s="262"/>
      <c r="B313" s="263"/>
      <c r="C313" s="264" t="s">
        <v>624</v>
      </c>
      <c r="D313" s="256">
        <f t="shared" si="2"/>
        <v>0</v>
      </c>
      <c r="E313" s="256">
        <f t="shared" si="2"/>
        <v>0</v>
      </c>
      <c r="F313" s="256">
        <f t="shared" si="2"/>
        <v>0</v>
      </c>
      <c r="J313" s="172"/>
    </row>
    <row r="314" spans="1:10" s="242" customFormat="1" ht="12.75">
      <c r="A314" s="262"/>
      <c r="B314" s="263"/>
      <c r="C314" s="264" t="s">
        <v>625</v>
      </c>
      <c r="D314" s="256">
        <f t="shared" si="2"/>
        <v>0</v>
      </c>
      <c r="E314" s="256">
        <f t="shared" si="2"/>
        <v>0</v>
      </c>
      <c r="F314" s="256">
        <f t="shared" si="2"/>
        <v>0</v>
      </c>
      <c r="J314" s="172"/>
    </row>
    <row r="315" spans="1:10" s="242" customFormat="1" ht="12.75">
      <c r="A315" s="262"/>
      <c r="B315" s="263"/>
      <c r="C315" s="264" t="s">
        <v>626</v>
      </c>
      <c r="D315" s="256">
        <f t="shared" si="2"/>
        <v>0</v>
      </c>
      <c r="E315" s="256">
        <f t="shared" si="2"/>
        <v>0</v>
      </c>
      <c r="F315" s="256">
        <f t="shared" si="2"/>
        <v>0</v>
      </c>
      <c r="J315" s="172"/>
    </row>
    <row r="316" spans="1:10" s="242" customFormat="1" ht="12.75" customHeight="1">
      <c r="A316" s="191" t="s">
        <v>675</v>
      </c>
      <c r="B316" s="194" t="s">
        <v>531</v>
      </c>
      <c r="C316" s="259" t="s">
        <v>619</v>
      </c>
      <c r="D316" s="241">
        <f>D317+D319+D320+D321</f>
        <v>10492</v>
      </c>
      <c r="E316" s="241">
        <f>E317+E319+E320+E321</f>
        <v>0</v>
      </c>
      <c r="F316" s="241">
        <f>F317+F319+F320+F321</f>
        <v>0</v>
      </c>
      <c r="J316" s="172"/>
    </row>
    <row r="317" spans="1:10" s="242" customFormat="1" ht="12.75">
      <c r="A317" s="191"/>
      <c r="B317" s="194"/>
      <c r="C317" s="259" t="s">
        <v>620</v>
      </c>
      <c r="D317" s="241">
        <f>'Таблица 6'!D68</f>
        <v>10492</v>
      </c>
      <c r="E317" s="241">
        <f>'Таблица 6'!E68</f>
        <v>0</v>
      </c>
      <c r="F317" s="241">
        <f>'Таблица 6'!F68</f>
        <v>0</v>
      </c>
      <c r="J317" s="172"/>
    </row>
    <row r="318" spans="1:10" s="242" customFormat="1" ht="25.5" customHeight="1">
      <c r="A318" s="191"/>
      <c r="B318" s="194"/>
      <c r="C318" s="260" t="s">
        <v>622</v>
      </c>
      <c r="D318" s="241"/>
      <c r="E318" s="241"/>
      <c r="F318" s="241"/>
      <c r="J318" s="172"/>
    </row>
    <row r="319" spans="1:10" s="242" customFormat="1" ht="12.75">
      <c r="A319" s="191"/>
      <c r="B319" s="194"/>
      <c r="C319" s="259" t="s">
        <v>627</v>
      </c>
      <c r="D319" s="241"/>
      <c r="E319" s="241"/>
      <c r="F319" s="241"/>
      <c r="J319" s="172"/>
    </row>
    <row r="320" spans="1:10" s="242" customFormat="1" ht="12.75">
      <c r="A320" s="191"/>
      <c r="B320" s="194"/>
      <c r="C320" s="259" t="s">
        <v>624</v>
      </c>
      <c r="D320" s="241"/>
      <c r="E320" s="241"/>
      <c r="F320" s="241"/>
      <c r="J320" s="172"/>
    </row>
    <row r="321" spans="1:10" s="242" customFormat="1" ht="12.75">
      <c r="A321" s="191"/>
      <c r="B321" s="194"/>
      <c r="C321" s="259" t="s">
        <v>625</v>
      </c>
      <c r="D321" s="241"/>
      <c r="E321" s="241"/>
      <c r="F321" s="241"/>
      <c r="J321" s="172"/>
    </row>
    <row r="322" spans="1:10" s="242" customFormat="1" ht="12.75">
      <c r="A322" s="191"/>
      <c r="B322" s="194"/>
      <c r="C322" s="259" t="s">
        <v>626</v>
      </c>
      <c r="D322" s="241"/>
      <c r="E322" s="241"/>
      <c r="F322" s="241"/>
      <c r="J322" s="172"/>
    </row>
    <row r="323" spans="1:10" s="242" customFormat="1" ht="12.75" customHeight="1">
      <c r="A323" s="191" t="s">
        <v>676</v>
      </c>
      <c r="B323" s="194" t="s">
        <v>533</v>
      </c>
      <c r="C323" s="259" t="s">
        <v>619</v>
      </c>
      <c r="D323" s="241">
        <f>D324+D326+D327+D328</f>
        <v>0</v>
      </c>
      <c r="E323" s="241">
        <f>E324+E326+E327+E328</f>
        <v>0</v>
      </c>
      <c r="F323" s="241">
        <f>F324+F326+F327+F328</f>
        <v>0</v>
      </c>
      <c r="J323" s="172"/>
    </row>
    <row r="324" spans="1:10" s="242" customFormat="1" ht="12.75">
      <c r="A324" s="191"/>
      <c r="B324" s="194"/>
      <c r="C324" s="259" t="s">
        <v>620</v>
      </c>
      <c r="D324" s="241"/>
      <c r="E324" s="241"/>
      <c r="F324" s="241"/>
      <c r="J324" s="172"/>
    </row>
    <row r="325" spans="1:10" s="242" customFormat="1" ht="27" customHeight="1">
      <c r="A325" s="191"/>
      <c r="B325" s="194"/>
      <c r="C325" s="260" t="s">
        <v>622</v>
      </c>
      <c r="D325" s="241"/>
      <c r="E325" s="241"/>
      <c r="F325" s="241"/>
      <c r="J325" s="172"/>
    </row>
    <row r="326" spans="1:10" s="242" customFormat="1" ht="12.75">
      <c r="A326" s="191"/>
      <c r="B326" s="194"/>
      <c r="C326" s="259" t="s">
        <v>627</v>
      </c>
      <c r="D326" s="241"/>
      <c r="E326" s="241"/>
      <c r="F326" s="241"/>
      <c r="J326" s="172"/>
    </row>
    <row r="327" spans="1:10" s="242" customFormat="1" ht="12.75">
      <c r="A327" s="191"/>
      <c r="B327" s="194"/>
      <c r="C327" s="259" t="s">
        <v>624</v>
      </c>
      <c r="D327" s="241"/>
      <c r="E327" s="241"/>
      <c r="F327" s="241"/>
      <c r="J327" s="172"/>
    </row>
    <row r="328" spans="1:10" s="242" customFormat="1" ht="12.75">
      <c r="A328" s="191"/>
      <c r="B328" s="194"/>
      <c r="C328" s="259" t="s">
        <v>625</v>
      </c>
      <c r="D328" s="241"/>
      <c r="E328" s="241"/>
      <c r="F328" s="241"/>
      <c r="J328" s="172"/>
    </row>
    <row r="329" spans="1:10" s="242" customFormat="1" ht="12.75">
      <c r="A329" s="191"/>
      <c r="B329" s="194"/>
      <c r="C329" s="259" t="s">
        <v>626</v>
      </c>
      <c r="D329" s="241"/>
      <c r="E329" s="241"/>
      <c r="F329" s="241"/>
      <c r="J329" s="172"/>
    </row>
    <row r="330" spans="1:10" s="242" customFormat="1" ht="12.75" customHeight="1">
      <c r="A330" s="191" t="s">
        <v>677</v>
      </c>
      <c r="B330" s="92" t="s">
        <v>535</v>
      </c>
      <c r="C330" s="259" t="s">
        <v>619</v>
      </c>
      <c r="D330" s="241">
        <f>D331+D333+D334+D335</f>
        <v>0</v>
      </c>
      <c r="E330" s="241">
        <f>E331+E333+E334+E335</f>
        <v>0</v>
      </c>
      <c r="F330" s="241">
        <f>F331+F333+F334+F335</f>
        <v>0</v>
      </c>
      <c r="J330" s="172"/>
    </row>
    <row r="331" spans="1:10" s="242" customFormat="1" ht="12.75">
      <c r="A331" s="191"/>
      <c r="B331" s="92"/>
      <c r="C331" s="259" t="s">
        <v>620</v>
      </c>
      <c r="D331" s="241"/>
      <c r="E331" s="241"/>
      <c r="F331" s="241"/>
      <c r="J331" s="172"/>
    </row>
    <row r="332" spans="1:10" s="242" customFormat="1" ht="27" customHeight="1">
      <c r="A332" s="191"/>
      <c r="B332" s="92"/>
      <c r="C332" s="260" t="s">
        <v>622</v>
      </c>
      <c r="D332" s="241"/>
      <c r="E332" s="241"/>
      <c r="F332" s="241"/>
      <c r="J332" s="172"/>
    </row>
    <row r="333" spans="1:10" s="242" customFormat="1" ht="12.75">
      <c r="A333" s="191"/>
      <c r="B333" s="92"/>
      <c r="C333" s="259" t="s">
        <v>627</v>
      </c>
      <c r="D333" s="241"/>
      <c r="E333" s="241"/>
      <c r="F333" s="241"/>
      <c r="J333" s="172"/>
    </row>
    <row r="334" spans="1:10" s="242" customFormat="1" ht="12.75">
      <c r="A334" s="191"/>
      <c r="B334" s="92"/>
      <c r="C334" s="259" t="s">
        <v>624</v>
      </c>
      <c r="D334" s="241"/>
      <c r="E334" s="241"/>
      <c r="F334" s="241"/>
      <c r="J334" s="172"/>
    </row>
    <row r="335" spans="1:10" s="242" customFormat="1" ht="12.75">
      <c r="A335" s="191"/>
      <c r="B335" s="92"/>
      <c r="C335" s="259" t="s">
        <v>625</v>
      </c>
      <c r="D335" s="241"/>
      <c r="E335" s="241"/>
      <c r="F335" s="241"/>
      <c r="J335" s="172"/>
    </row>
    <row r="336" spans="1:10" s="242" customFormat="1" ht="12.75">
      <c r="A336" s="191"/>
      <c r="B336" s="92"/>
      <c r="C336" s="259" t="s">
        <v>626</v>
      </c>
      <c r="D336" s="241"/>
      <c r="E336" s="241"/>
      <c r="F336" s="241"/>
      <c r="J336" s="172"/>
    </row>
    <row r="337" spans="1:10" s="242" customFormat="1" ht="12.75" customHeight="1">
      <c r="A337" s="191" t="s">
        <v>678</v>
      </c>
      <c r="B337" s="87" t="s">
        <v>537</v>
      </c>
      <c r="C337" s="259" t="s">
        <v>619</v>
      </c>
      <c r="D337" s="241">
        <f>D338+D340+D341+D342</f>
        <v>225073.53208</v>
      </c>
      <c r="E337" s="241">
        <f>E338+E340+E341+E342</f>
        <v>156390.1</v>
      </c>
      <c r="F337" s="241">
        <f>F338+F340+F341+F342</f>
        <v>122690.1</v>
      </c>
      <c r="J337" s="172"/>
    </row>
    <row r="338" spans="1:10" s="242" customFormat="1" ht="12.75">
      <c r="A338" s="191"/>
      <c r="B338" s="87"/>
      <c r="C338" s="259" t="s">
        <v>620</v>
      </c>
      <c r="D338" s="241">
        <f>'Таблица 6'!D72</f>
        <v>225073.53208</v>
      </c>
      <c r="E338" s="241">
        <f>'Таблица 6'!E72</f>
        <v>156390.1</v>
      </c>
      <c r="F338" s="241">
        <f>'Таблица 6'!F72</f>
        <v>122690.1</v>
      </c>
      <c r="J338" s="172"/>
    </row>
    <row r="339" spans="1:10" s="242" customFormat="1" ht="25.5" customHeight="1">
      <c r="A339" s="191"/>
      <c r="B339" s="87"/>
      <c r="C339" s="260" t="s">
        <v>622</v>
      </c>
      <c r="D339" s="241"/>
      <c r="E339" s="241"/>
      <c r="F339" s="241"/>
      <c r="J339" s="172"/>
    </row>
    <row r="340" spans="1:10" s="242" customFormat="1" ht="12.75">
      <c r="A340" s="191"/>
      <c r="B340" s="87"/>
      <c r="C340" s="259" t="s">
        <v>627</v>
      </c>
      <c r="D340" s="241"/>
      <c r="E340" s="241"/>
      <c r="F340" s="241"/>
      <c r="J340" s="172"/>
    </row>
    <row r="341" spans="1:10" s="242" customFormat="1" ht="12.75">
      <c r="A341" s="191"/>
      <c r="B341" s="87"/>
      <c r="C341" s="259" t="s">
        <v>624</v>
      </c>
      <c r="D341" s="241"/>
      <c r="E341" s="241"/>
      <c r="F341" s="241"/>
      <c r="J341" s="172"/>
    </row>
    <row r="342" spans="1:10" s="242" customFormat="1" ht="12.75">
      <c r="A342" s="191"/>
      <c r="B342" s="87"/>
      <c r="C342" s="259" t="s">
        <v>625</v>
      </c>
      <c r="D342" s="241"/>
      <c r="E342" s="241"/>
      <c r="F342" s="241"/>
      <c r="J342" s="172"/>
    </row>
    <row r="343" spans="1:10" s="242" customFormat="1" ht="12.75">
      <c r="A343" s="191"/>
      <c r="B343" s="87"/>
      <c r="C343" s="259" t="s">
        <v>626</v>
      </c>
      <c r="D343" s="241"/>
      <c r="E343" s="241"/>
      <c r="F343" s="241"/>
      <c r="J343" s="172"/>
    </row>
    <row r="344" spans="1:10" s="242" customFormat="1" ht="12.75" customHeight="1">
      <c r="A344" s="191" t="s">
        <v>679</v>
      </c>
      <c r="B344" s="92" t="s">
        <v>539</v>
      </c>
      <c r="C344" s="259" t="s">
        <v>619</v>
      </c>
      <c r="D344" s="241">
        <f>D345+D347+D348+D349</f>
        <v>2353.9</v>
      </c>
      <c r="E344" s="241">
        <f>E345+E347+E348+E349</f>
        <v>0</v>
      </c>
      <c r="F344" s="241">
        <f>F345+F347+F348+F349</f>
        <v>0</v>
      </c>
      <c r="J344" s="172"/>
    </row>
    <row r="345" spans="1:10" s="242" customFormat="1" ht="12.75">
      <c r="A345" s="191"/>
      <c r="B345" s="92"/>
      <c r="C345" s="259" t="s">
        <v>620</v>
      </c>
      <c r="D345" s="241">
        <f>'Таблица 6'!D73</f>
        <v>2353.9</v>
      </c>
      <c r="E345" s="241">
        <f>'Таблица 6'!E73</f>
        <v>0</v>
      </c>
      <c r="F345" s="241">
        <f>'Таблица 6'!F73</f>
        <v>0</v>
      </c>
      <c r="J345" s="172"/>
    </row>
    <row r="346" spans="1:10" s="242" customFormat="1" ht="25.5" customHeight="1">
      <c r="A346" s="191"/>
      <c r="B346" s="92"/>
      <c r="C346" s="260" t="s">
        <v>622</v>
      </c>
      <c r="D346" s="241">
        <f>'Таблица 6'!D73</f>
        <v>2353.9</v>
      </c>
      <c r="E346" s="241">
        <f>'Таблица 6'!E73</f>
        <v>0</v>
      </c>
      <c r="F346" s="241">
        <f>'Таблица 6'!F73</f>
        <v>0</v>
      </c>
      <c r="J346" s="172"/>
    </row>
    <row r="347" spans="1:10" s="242" customFormat="1" ht="12.75">
      <c r="A347" s="191"/>
      <c r="B347" s="92"/>
      <c r="C347" s="259" t="s">
        <v>627</v>
      </c>
      <c r="D347" s="241"/>
      <c r="E347" s="241"/>
      <c r="F347" s="241"/>
      <c r="J347" s="172"/>
    </row>
    <row r="348" spans="1:10" s="242" customFormat="1" ht="12.75">
      <c r="A348" s="191"/>
      <c r="B348" s="92"/>
      <c r="C348" s="259" t="s">
        <v>624</v>
      </c>
      <c r="D348" s="241"/>
      <c r="E348" s="241"/>
      <c r="F348" s="241"/>
      <c r="J348" s="172"/>
    </row>
    <row r="349" spans="1:10" s="242" customFormat="1" ht="12.75">
      <c r="A349" s="191"/>
      <c r="B349" s="92"/>
      <c r="C349" s="259" t="s">
        <v>625</v>
      </c>
      <c r="D349" s="241"/>
      <c r="E349" s="241"/>
      <c r="F349" s="241"/>
      <c r="J349" s="172"/>
    </row>
    <row r="350" spans="1:10" s="242" customFormat="1" ht="12.75">
      <c r="A350" s="191"/>
      <c r="B350" s="92"/>
      <c r="C350" s="259" t="s">
        <v>626</v>
      </c>
      <c r="D350" s="241"/>
      <c r="E350" s="241"/>
      <c r="F350" s="241"/>
      <c r="J350" s="172"/>
    </row>
    <row r="351" spans="1:10" s="242" customFormat="1" ht="12.75" customHeight="1">
      <c r="A351" s="191" t="s">
        <v>680</v>
      </c>
      <c r="B351" s="92" t="s">
        <v>541</v>
      </c>
      <c r="C351" s="259" t="s">
        <v>619</v>
      </c>
      <c r="D351" s="241">
        <f>D352+D354+D355+D356</f>
        <v>2197598.751</v>
      </c>
      <c r="E351" s="241">
        <f>E352+E354+E355+E356</f>
        <v>2073681.9</v>
      </c>
      <c r="F351" s="241">
        <f>F352+F354+F355+F356</f>
        <v>2127532.9</v>
      </c>
      <c r="J351" s="172"/>
    </row>
    <row r="352" spans="1:10" s="242" customFormat="1" ht="12.75">
      <c r="A352" s="191"/>
      <c r="B352" s="92"/>
      <c r="C352" s="259" t="s">
        <v>620</v>
      </c>
      <c r="D352" s="241">
        <f>'Таблица 6'!D75</f>
        <v>2197598.751</v>
      </c>
      <c r="E352" s="241">
        <f>'Таблица 6'!E75</f>
        <v>2073681.9</v>
      </c>
      <c r="F352" s="241">
        <f>'Таблица 6'!F75</f>
        <v>2127532.9</v>
      </c>
      <c r="J352" s="172"/>
    </row>
    <row r="353" spans="1:10" s="242" customFormat="1" ht="24" customHeight="1">
      <c r="A353" s="191"/>
      <c r="B353" s="92"/>
      <c r="C353" s="260" t="s">
        <v>622</v>
      </c>
      <c r="D353" s="241"/>
      <c r="E353" s="241"/>
      <c r="F353" s="241"/>
      <c r="J353" s="172"/>
    </row>
    <row r="354" spans="1:10" s="242" customFormat="1" ht="12.75">
      <c r="A354" s="191"/>
      <c r="B354" s="92"/>
      <c r="C354" s="259" t="s">
        <v>627</v>
      </c>
      <c r="D354" s="241"/>
      <c r="E354" s="241"/>
      <c r="F354" s="241"/>
      <c r="J354" s="172"/>
    </row>
    <row r="355" spans="1:10" s="242" customFormat="1" ht="12.75">
      <c r="A355" s="191"/>
      <c r="B355" s="92"/>
      <c r="C355" s="259" t="s">
        <v>624</v>
      </c>
      <c r="D355" s="241"/>
      <c r="E355" s="241"/>
      <c r="F355" s="241"/>
      <c r="J355" s="172"/>
    </row>
    <row r="356" spans="1:10" s="242" customFormat="1" ht="12.75">
      <c r="A356" s="191"/>
      <c r="B356" s="92"/>
      <c r="C356" s="259" t="s">
        <v>625</v>
      </c>
      <c r="D356" s="241"/>
      <c r="E356" s="241"/>
      <c r="F356" s="241"/>
      <c r="J356" s="172"/>
    </row>
    <row r="357" spans="1:10" s="242" customFormat="1" ht="12.75">
      <c r="A357" s="191"/>
      <c r="B357" s="92"/>
      <c r="C357" s="259" t="s">
        <v>626</v>
      </c>
      <c r="D357" s="241"/>
      <c r="E357" s="241"/>
      <c r="F357" s="241"/>
      <c r="J357" s="172"/>
    </row>
    <row r="358" spans="1:10" s="242" customFormat="1" ht="12.75" customHeight="1">
      <c r="A358" s="191" t="s">
        <v>681</v>
      </c>
      <c r="B358" s="92" t="s">
        <v>682</v>
      </c>
      <c r="C358" s="259" t="s">
        <v>619</v>
      </c>
      <c r="D358" s="241">
        <f>D359+D361+D362+D363</f>
        <v>0</v>
      </c>
      <c r="E358" s="241">
        <f>E359+E361+E362+E363</f>
        <v>0</v>
      </c>
      <c r="F358" s="241">
        <f>F359+F361+F362+F363</f>
        <v>0</v>
      </c>
      <c r="J358" s="172"/>
    </row>
    <row r="359" spans="1:10" s="242" customFormat="1" ht="12.75">
      <c r="A359" s="191"/>
      <c r="B359" s="92"/>
      <c r="C359" s="259" t="s">
        <v>620</v>
      </c>
      <c r="D359" s="241"/>
      <c r="E359" s="241"/>
      <c r="F359" s="241"/>
      <c r="J359" s="172"/>
    </row>
    <row r="360" spans="1:10" s="242" customFormat="1" ht="24" customHeight="1">
      <c r="A360" s="191"/>
      <c r="B360" s="92"/>
      <c r="C360" s="260" t="s">
        <v>622</v>
      </c>
      <c r="D360" s="241"/>
      <c r="E360" s="241"/>
      <c r="F360" s="241"/>
      <c r="J360" s="172"/>
    </row>
    <row r="361" spans="1:10" s="242" customFormat="1" ht="12.75">
      <c r="A361" s="191"/>
      <c r="B361" s="92"/>
      <c r="C361" s="259" t="s">
        <v>627</v>
      </c>
      <c r="D361" s="241"/>
      <c r="E361" s="241"/>
      <c r="F361" s="241"/>
      <c r="J361" s="172"/>
    </row>
    <row r="362" spans="1:10" s="242" customFormat="1" ht="12.75">
      <c r="A362" s="191"/>
      <c r="B362" s="92"/>
      <c r="C362" s="259" t="s">
        <v>624</v>
      </c>
      <c r="D362" s="241"/>
      <c r="E362" s="241"/>
      <c r="F362" s="241"/>
      <c r="J362" s="172"/>
    </row>
    <row r="363" spans="1:10" s="242" customFormat="1" ht="12.75">
      <c r="A363" s="191"/>
      <c r="B363" s="92"/>
      <c r="C363" s="259" t="s">
        <v>625</v>
      </c>
      <c r="D363" s="241"/>
      <c r="E363" s="241"/>
      <c r="F363" s="241"/>
      <c r="J363" s="172"/>
    </row>
    <row r="364" spans="1:10" s="242" customFormat="1" ht="12.75">
      <c r="A364" s="191"/>
      <c r="B364" s="92"/>
      <c r="C364" s="259" t="s">
        <v>626</v>
      </c>
      <c r="D364" s="241"/>
      <c r="E364" s="241"/>
      <c r="F364" s="241"/>
      <c r="J364" s="172"/>
    </row>
    <row r="365" spans="1:10" s="242" customFormat="1" ht="12.75" customHeight="1">
      <c r="A365" s="191" t="s">
        <v>683</v>
      </c>
      <c r="B365" s="194" t="s">
        <v>545</v>
      </c>
      <c r="C365" s="259" t="s">
        <v>619</v>
      </c>
      <c r="D365" s="241">
        <f>D366+D368+D369+D370</f>
        <v>520.8</v>
      </c>
      <c r="E365" s="241">
        <f>E366+E368+E369+E370</f>
        <v>441.8</v>
      </c>
      <c r="F365" s="241">
        <f>F366+F368+F369+F370</f>
        <v>462.6</v>
      </c>
      <c r="J365" s="172"/>
    </row>
    <row r="366" spans="1:10" s="242" customFormat="1" ht="12.75">
      <c r="A366" s="191"/>
      <c r="B366" s="194"/>
      <c r="C366" s="259" t="s">
        <v>620</v>
      </c>
      <c r="D366" s="241">
        <f>'Таблица 6'!D77</f>
        <v>520.8</v>
      </c>
      <c r="E366" s="241">
        <f>'Таблица 6'!E77</f>
        <v>441.8</v>
      </c>
      <c r="F366" s="241">
        <f>'Таблица 6'!F77</f>
        <v>462.6</v>
      </c>
      <c r="J366" s="172"/>
    </row>
    <row r="367" spans="1:10" s="242" customFormat="1" ht="27.75" customHeight="1">
      <c r="A367" s="191"/>
      <c r="B367" s="194"/>
      <c r="C367" s="260" t="s">
        <v>622</v>
      </c>
      <c r="D367" s="241">
        <f>'Таблица 6'!D78</f>
        <v>493.5</v>
      </c>
      <c r="E367" s="241">
        <f>'Таблица 6'!E78</f>
        <v>414.5</v>
      </c>
      <c r="F367" s="241">
        <f>'Таблица 6'!F78</f>
        <v>435.3</v>
      </c>
      <c r="J367" s="172"/>
    </row>
    <row r="368" spans="1:10" s="242" customFormat="1" ht="12.75">
      <c r="A368" s="191"/>
      <c r="B368" s="194"/>
      <c r="C368" s="259" t="s">
        <v>627</v>
      </c>
      <c r="D368" s="241"/>
      <c r="E368" s="241"/>
      <c r="F368" s="241"/>
      <c r="J368" s="172"/>
    </row>
    <row r="369" spans="1:10" s="242" customFormat="1" ht="12.75">
      <c r="A369" s="191"/>
      <c r="B369" s="194"/>
      <c r="C369" s="259" t="s">
        <v>624</v>
      </c>
      <c r="D369" s="241"/>
      <c r="E369" s="241"/>
      <c r="F369" s="241"/>
      <c r="J369" s="172"/>
    </row>
    <row r="370" spans="1:10" s="242" customFormat="1" ht="12.75">
      <c r="A370" s="191"/>
      <c r="B370" s="194"/>
      <c r="C370" s="259" t="s">
        <v>625</v>
      </c>
      <c r="D370" s="241"/>
      <c r="E370" s="241"/>
      <c r="F370" s="241"/>
      <c r="J370" s="172"/>
    </row>
    <row r="371" spans="1:10" s="242" customFormat="1" ht="12.75">
      <c r="A371" s="191"/>
      <c r="B371" s="194"/>
      <c r="C371" s="259" t="s">
        <v>626</v>
      </c>
      <c r="D371" s="241"/>
      <c r="E371" s="241"/>
      <c r="F371" s="241"/>
      <c r="J371" s="172"/>
    </row>
    <row r="372" spans="1:10" s="242" customFormat="1" ht="12.75" customHeight="1">
      <c r="A372" s="191" t="s">
        <v>684</v>
      </c>
      <c r="B372" s="87" t="s">
        <v>547</v>
      </c>
      <c r="C372" s="259" t="s">
        <v>619</v>
      </c>
      <c r="D372" s="241">
        <f>D373+D375+D376+D377</f>
        <v>147.5</v>
      </c>
      <c r="E372" s="241">
        <f>E373+E375+E376+E377</f>
        <v>147.5</v>
      </c>
      <c r="F372" s="241">
        <f>F373+F375+F376+F377</f>
        <v>147.5</v>
      </c>
      <c r="J372" s="172"/>
    </row>
    <row r="373" spans="1:10" s="242" customFormat="1" ht="12.75">
      <c r="A373" s="191"/>
      <c r="B373" s="87"/>
      <c r="C373" s="259" t="s">
        <v>620</v>
      </c>
      <c r="D373" s="241">
        <f>'Таблица 6'!D79</f>
        <v>147.5</v>
      </c>
      <c r="E373" s="241">
        <f>'Таблица 6'!E79</f>
        <v>147.5</v>
      </c>
      <c r="F373" s="241">
        <f>'Таблица 6'!F79</f>
        <v>147.5</v>
      </c>
      <c r="J373" s="172"/>
    </row>
    <row r="374" spans="1:10" s="242" customFormat="1" ht="25.5" customHeight="1">
      <c r="A374" s="191"/>
      <c r="B374" s="87"/>
      <c r="C374" s="260" t="s">
        <v>622</v>
      </c>
      <c r="D374" s="241"/>
      <c r="E374" s="241"/>
      <c r="F374" s="241"/>
      <c r="J374" s="172"/>
    </row>
    <row r="375" spans="1:10" s="242" customFormat="1" ht="12.75">
      <c r="A375" s="191"/>
      <c r="B375" s="87"/>
      <c r="C375" s="259" t="s">
        <v>627</v>
      </c>
      <c r="D375" s="241"/>
      <c r="E375" s="241"/>
      <c r="F375" s="241"/>
      <c r="J375" s="172"/>
    </row>
    <row r="376" spans="1:10" s="242" customFormat="1" ht="12.75">
      <c r="A376" s="191"/>
      <c r="B376" s="87"/>
      <c r="C376" s="259" t="s">
        <v>624</v>
      </c>
      <c r="D376" s="241"/>
      <c r="E376" s="241"/>
      <c r="F376" s="241"/>
      <c r="J376" s="172"/>
    </row>
    <row r="377" spans="1:10" s="242" customFormat="1" ht="12.75">
      <c r="A377" s="191"/>
      <c r="B377" s="87"/>
      <c r="C377" s="259" t="s">
        <v>625</v>
      </c>
      <c r="D377" s="241"/>
      <c r="E377" s="241"/>
      <c r="F377" s="241"/>
      <c r="J377" s="172"/>
    </row>
    <row r="378" spans="1:10" s="242" customFormat="1" ht="12.75">
      <c r="A378" s="191"/>
      <c r="B378" s="87"/>
      <c r="C378" s="259" t="s">
        <v>626</v>
      </c>
      <c r="D378" s="241"/>
      <c r="E378" s="241"/>
      <c r="F378" s="241"/>
      <c r="J378" s="172"/>
    </row>
    <row r="379" spans="1:10" s="242" customFormat="1" ht="12.75" customHeight="1">
      <c r="A379" s="191" t="s">
        <v>685</v>
      </c>
      <c r="B379" s="92" t="s">
        <v>549</v>
      </c>
      <c r="C379" s="259" t="s">
        <v>619</v>
      </c>
      <c r="D379" s="241">
        <f>D380+D382+D383+D384</f>
        <v>5424.1</v>
      </c>
      <c r="E379" s="241">
        <f>E380+E382+E383+E384</f>
        <v>5590.9</v>
      </c>
      <c r="F379" s="241">
        <f>F380+F382+F383+F384</f>
        <v>5881.2</v>
      </c>
      <c r="J379" s="172"/>
    </row>
    <row r="380" spans="1:10" s="242" customFormat="1" ht="12.75">
      <c r="A380" s="191"/>
      <c r="B380" s="92"/>
      <c r="C380" s="259" t="s">
        <v>620</v>
      </c>
      <c r="D380" s="241">
        <f>'Таблица 6'!D81</f>
        <v>5424.1</v>
      </c>
      <c r="E380" s="241">
        <f>'Таблица 6'!E81</f>
        <v>5590.9</v>
      </c>
      <c r="F380" s="241">
        <f>'Таблица 6'!F81</f>
        <v>5881.2</v>
      </c>
      <c r="J380" s="172"/>
    </row>
    <row r="381" spans="1:10" s="242" customFormat="1" ht="25.5" customHeight="1">
      <c r="A381" s="191"/>
      <c r="B381" s="92"/>
      <c r="C381" s="260" t="s">
        <v>622</v>
      </c>
      <c r="D381" s="241"/>
      <c r="E381" s="241"/>
      <c r="F381" s="241"/>
      <c r="J381" s="172"/>
    </row>
    <row r="382" spans="1:10" s="242" customFormat="1" ht="12.75">
      <c r="A382" s="191"/>
      <c r="B382" s="92"/>
      <c r="C382" s="259" t="s">
        <v>627</v>
      </c>
      <c r="D382" s="241"/>
      <c r="E382" s="241"/>
      <c r="F382" s="241"/>
      <c r="J382" s="172"/>
    </row>
    <row r="383" spans="1:10" s="242" customFormat="1" ht="12.75">
      <c r="A383" s="191"/>
      <c r="B383" s="92"/>
      <c r="C383" s="259" t="s">
        <v>624</v>
      </c>
      <c r="D383" s="241"/>
      <c r="E383" s="241"/>
      <c r="F383" s="241"/>
      <c r="J383" s="172"/>
    </row>
    <row r="384" spans="1:10" s="242" customFormat="1" ht="12.75">
      <c r="A384" s="191"/>
      <c r="B384" s="92"/>
      <c r="C384" s="259" t="s">
        <v>625</v>
      </c>
      <c r="D384" s="241"/>
      <c r="E384" s="241"/>
      <c r="F384" s="241"/>
      <c r="J384" s="172"/>
    </row>
    <row r="385" spans="1:10" s="242" customFormat="1" ht="12.75">
      <c r="A385" s="191"/>
      <c r="B385" s="92"/>
      <c r="C385" s="259" t="s">
        <v>626</v>
      </c>
      <c r="D385" s="241"/>
      <c r="E385" s="241"/>
      <c r="F385" s="241"/>
      <c r="J385" s="172"/>
    </row>
    <row r="386" spans="1:10" s="242" customFormat="1" ht="12.75" customHeight="1">
      <c r="A386" s="191" t="s">
        <v>686</v>
      </c>
      <c r="B386" s="92" t="s">
        <v>551</v>
      </c>
      <c r="C386" s="259" t="s">
        <v>619</v>
      </c>
      <c r="D386" s="241">
        <f>D387+D389+D390+D391</f>
        <v>0</v>
      </c>
      <c r="E386" s="241">
        <f>E387+E389+E390+E391</f>
        <v>0</v>
      </c>
      <c r="F386" s="241">
        <f>F387+F389+F390+F391</f>
        <v>0</v>
      </c>
      <c r="J386" s="172"/>
    </row>
    <row r="387" spans="1:10" s="242" customFormat="1" ht="12.75">
      <c r="A387" s="191"/>
      <c r="B387" s="92"/>
      <c r="C387" s="259" t="s">
        <v>620</v>
      </c>
      <c r="D387" s="241"/>
      <c r="E387" s="241"/>
      <c r="F387" s="241"/>
      <c r="J387" s="172"/>
    </row>
    <row r="388" spans="1:10" s="242" customFormat="1" ht="24" customHeight="1">
      <c r="A388" s="191"/>
      <c r="B388" s="92"/>
      <c r="C388" s="260" t="s">
        <v>622</v>
      </c>
      <c r="D388" s="241"/>
      <c r="E388" s="241"/>
      <c r="F388" s="241"/>
      <c r="J388" s="172"/>
    </row>
    <row r="389" spans="1:10" s="242" customFormat="1" ht="12.75">
      <c r="A389" s="191"/>
      <c r="B389" s="92"/>
      <c r="C389" s="259" t="s">
        <v>627</v>
      </c>
      <c r="D389" s="241"/>
      <c r="E389" s="241"/>
      <c r="F389" s="241"/>
      <c r="J389" s="172"/>
    </row>
    <row r="390" spans="1:10" s="242" customFormat="1" ht="12.75">
      <c r="A390" s="191"/>
      <c r="B390" s="92"/>
      <c r="C390" s="259" t="s">
        <v>624</v>
      </c>
      <c r="D390" s="241"/>
      <c r="E390" s="241"/>
      <c r="F390" s="241"/>
      <c r="J390" s="172"/>
    </row>
    <row r="391" spans="1:10" s="242" customFormat="1" ht="12.75">
      <c r="A391" s="191"/>
      <c r="B391" s="92"/>
      <c r="C391" s="259" t="s">
        <v>625</v>
      </c>
      <c r="D391" s="241"/>
      <c r="E391" s="241"/>
      <c r="F391" s="241"/>
      <c r="J391" s="172"/>
    </row>
    <row r="392" spans="1:10" s="242" customFormat="1" ht="12.75">
      <c r="A392" s="191"/>
      <c r="B392" s="92"/>
      <c r="C392" s="259" t="s">
        <v>626</v>
      </c>
      <c r="D392" s="241"/>
      <c r="E392" s="241"/>
      <c r="F392" s="241"/>
      <c r="J392" s="172"/>
    </row>
    <row r="393" spans="1:10" s="242" customFormat="1" ht="12.75" customHeight="1">
      <c r="A393" s="191" t="s">
        <v>687</v>
      </c>
      <c r="B393" s="87" t="s">
        <v>608</v>
      </c>
      <c r="C393" s="259" t="s">
        <v>619</v>
      </c>
      <c r="D393" s="241">
        <f>D394+D396+D397+D398</f>
        <v>39858.5</v>
      </c>
      <c r="E393" s="241">
        <f>E394+E396+E397+E398</f>
        <v>42349.5</v>
      </c>
      <c r="F393" s="241">
        <f>F394+F396+F397+F398</f>
        <v>46776.8</v>
      </c>
      <c r="J393" s="172"/>
    </row>
    <row r="394" spans="1:10" s="242" customFormat="1" ht="12.75">
      <c r="A394" s="191"/>
      <c r="B394" s="87"/>
      <c r="C394" s="259" t="s">
        <v>620</v>
      </c>
      <c r="D394" s="241">
        <f>'Таблица 6'!D84</f>
        <v>39858.5</v>
      </c>
      <c r="E394" s="241">
        <f>'Таблица 6'!E84</f>
        <v>42349.5</v>
      </c>
      <c r="F394" s="241">
        <f>'Таблица 6'!F84</f>
        <v>46776.8</v>
      </c>
      <c r="J394" s="172"/>
    </row>
    <row r="395" spans="1:10" s="242" customFormat="1" ht="27" customHeight="1">
      <c r="A395" s="191"/>
      <c r="B395" s="87"/>
      <c r="C395" s="260" t="s">
        <v>622</v>
      </c>
      <c r="D395" s="241"/>
      <c r="E395" s="241"/>
      <c r="F395" s="241"/>
      <c r="J395" s="172"/>
    </row>
    <row r="396" spans="1:10" s="242" customFormat="1" ht="12.75">
      <c r="A396" s="191"/>
      <c r="B396" s="87"/>
      <c r="C396" s="259" t="s">
        <v>627</v>
      </c>
      <c r="D396" s="241"/>
      <c r="E396" s="241"/>
      <c r="F396" s="241"/>
      <c r="J396" s="172"/>
    </row>
    <row r="397" spans="1:10" s="242" customFormat="1" ht="12.75">
      <c r="A397" s="191"/>
      <c r="B397" s="87"/>
      <c r="C397" s="259" t="s">
        <v>624</v>
      </c>
      <c r="D397" s="241"/>
      <c r="E397" s="241"/>
      <c r="F397" s="241"/>
      <c r="J397" s="172"/>
    </row>
    <row r="398" spans="1:10" s="242" customFormat="1" ht="12.75">
      <c r="A398" s="191"/>
      <c r="B398" s="87"/>
      <c r="C398" s="259" t="s">
        <v>625</v>
      </c>
      <c r="D398" s="241"/>
      <c r="E398" s="241"/>
      <c r="F398" s="241"/>
      <c r="J398" s="172"/>
    </row>
    <row r="399" spans="1:10" s="242" customFormat="1" ht="12.75">
      <c r="A399" s="191"/>
      <c r="B399" s="87"/>
      <c r="C399" s="259" t="s">
        <v>626</v>
      </c>
      <c r="D399" s="241"/>
      <c r="E399" s="241"/>
      <c r="F399" s="241"/>
      <c r="J399" s="172"/>
    </row>
    <row r="400" spans="1:10" s="242" customFormat="1" ht="12.75" customHeight="1">
      <c r="A400" s="191" t="s">
        <v>688</v>
      </c>
      <c r="B400" s="92" t="s">
        <v>555</v>
      </c>
      <c r="C400" s="259" t="s">
        <v>619</v>
      </c>
      <c r="D400" s="241">
        <f>D401+D403+D404+D405</f>
        <v>998.7</v>
      </c>
      <c r="E400" s="241">
        <f>E401+E403+E404+E405</f>
        <v>0</v>
      </c>
      <c r="F400" s="241">
        <f>F401+F403+F404+F405</f>
        <v>0</v>
      </c>
      <c r="J400" s="172"/>
    </row>
    <row r="401" spans="1:10" s="242" customFormat="1" ht="12.75">
      <c r="A401" s="191"/>
      <c r="B401" s="92"/>
      <c r="C401" s="259" t="s">
        <v>620</v>
      </c>
      <c r="D401" s="241">
        <f>'Таблица 6'!D85</f>
        <v>998.7</v>
      </c>
      <c r="E401" s="241">
        <f>'Таблица 6'!E85</f>
        <v>0</v>
      </c>
      <c r="F401" s="241">
        <f>'Таблица 6'!F85</f>
        <v>0</v>
      </c>
      <c r="J401" s="172"/>
    </row>
    <row r="402" spans="1:10" s="242" customFormat="1" ht="24.75" customHeight="1">
      <c r="A402" s="191"/>
      <c r="B402" s="92"/>
      <c r="C402" s="260" t="s">
        <v>622</v>
      </c>
      <c r="D402" s="241">
        <f>'Таблица 6'!D85</f>
        <v>998.7</v>
      </c>
      <c r="E402" s="241">
        <f>'Таблица 6'!E85</f>
        <v>0</v>
      </c>
      <c r="F402" s="241">
        <f>'Таблица 6'!F85</f>
        <v>0</v>
      </c>
      <c r="J402" s="172"/>
    </row>
    <row r="403" spans="1:10" s="242" customFormat="1" ht="12.75">
      <c r="A403" s="191"/>
      <c r="B403" s="92"/>
      <c r="C403" s="259" t="s">
        <v>627</v>
      </c>
      <c r="D403" s="241"/>
      <c r="E403" s="241"/>
      <c r="F403" s="241"/>
      <c r="J403" s="172"/>
    </row>
    <row r="404" spans="1:10" s="242" customFormat="1" ht="12.75">
      <c r="A404" s="191"/>
      <c r="B404" s="92"/>
      <c r="C404" s="259" t="s">
        <v>624</v>
      </c>
      <c r="D404" s="241"/>
      <c r="E404" s="241"/>
      <c r="F404" s="241"/>
      <c r="J404" s="172"/>
    </row>
    <row r="405" spans="1:10" s="242" customFormat="1" ht="12.75">
      <c r="A405" s="191"/>
      <c r="B405" s="92"/>
      <c r="C405" s="259" t="s">
        <v>625</v>
      </c>
      <c r="D405" s="241"/>
      <c r="E405" s="241"/>
      <c r="F405" s="241"/>
      <c r="J405" s="172"/>
    </row>
    <row r="406" spans="1:10" s="242" customFormat="1" ht="12.75">
      <c r="A406" s="191"/>
      <c r="B406" s="92"/>
      <c r="C406" s="259" t="s">
        <v>626</v>
      </c>
      <c r="D406" s="241"/>
      <c r="E406" s="241"/>
      <c r="F406" s="241"/>
      <c r="J406" s="172"/>
    </row>
    <row r="407" spans="1:10" s="242" customFormat="1" ht="12.75" customHeight="1">
      <c r="A407" s="191" t="s">
        <v>689</v>
      </c>
      <c r="B407" s="87" t="s">
        <v>690</v>
      </c>
      <c r="C407" s="259" t="s">
        <v>619</v>
      </c>
      <c r="D407" s="241">
        <f>D408+D410+D411+D412</f>
        <v>8785.5</v>
      </c>
      <c r="E407" s="241">
        <f>E408+E410+E411+E412</f>
        <v>8785.5</v>
      </c>
      <c r="F407" s="241">
        <f>F408+F410+F411+F412</f>
        <v>8785.5</v>
      </c>
      <c r="J407" s="172"/>
    </row>
    <row r="408" spans="1:10" s="242" customFormat="1" ht="12.75">
      <c r="A408" s="191"/>
      <c r="B408" s="87"/>
      <c r="C408" s="259" t="s">
        <v>620</v>
      </c>
      <c r="D408" s="241">
        <f>'Таблица 6'!D87</f>
        <v>8785.5</v>
      </c>
      <c r="E408" s="241">
        <f>'Таблица 6'!E87</f>
        <v>8785.5</v>
      </c>
      <c r="F408" s="241">
        <f>'Таблица 6'!F87</f>
        <v>8785.5</v>
      </c>
      <c r="J408" s="172"/>
    </row>
    <row r="409" spans="1:10" s="242" customFormat="1" ht="25.5" customHeight="1">
      <c r="A409" s="191"/>
      <c r="B409" s="87"/>
      <c r="C409" s="260" t="s">
        <v>622</v>
      </c>
      <c r="D409" s="241"/>
      <c r="E409" s="241"/>
      <c r="F409" s="241"/>
      <c r="J409" s="172"/>
    </row>
    <row r="410" spans="1:10" s="242" customFormat="1" ht="12.75">
      <c r="A410" s="191"/>
      <c r="B410" s="87"/>
      <c r="C410" s="259" t="s">
        <v>627</v>
      </c>
      <c r="D410" s="241"/>
      <c r="E410" s="241"/>
      <c r="F410" s="241"/>
      <c r="J410" s="172"/>
    </row>
    <row r="411" spans="1:10" s="242" customFormat="1" ht="12.75">
      <c r="A411" s="191"/>
      <c r="B411" s="87"/>
      <c r="C411" s="259" t="s">
        <v>624</v>
      </c>
      <c r="D411" s="241"/>
      <c r="E411" s="241"/>
      <c r="F411" s="241"/>
      <c r="J411" s="172"/>
    </row>
    <row r="412" spans="1:10" s="242" customFormat="1" ht="12.75">
      <c r="A412" s="191"/>
      <c r="B412" s="87"/>
      <c r="C412" s="259" t="s">
        <v>625</v>
      </c>
      <c r="D412" s="241"/>
      <c r="E412" s="241"/>
      <c r="F412" s="241"/>
      <c r="J412" s="172"/>
    </row>
    <row r="413" spans="1:10" s="242" customFormat="1" ht="12.75">
      <c r="A413" s="191"/>
      <c r="B413" s="87"/>
      <c r="C413" s="259" t="s">
        <v>626</v>
      </c>
      <c r="D413" s="241"/>
      <c r="E413" s="241"/>
      <c r="F413" s="241"/>
      <c r="J413" s="172"/>
    </row>
    <row r="414" spans="1:10" s="242" customFormat="1" ht="12.75" customHeight="1">
      <c r="A414" s="191" t="s">
        <v>691</v>
      </c>
      <c r="B414" s="87" t="s">
        <v>560</v>
      </c>
      <c r="C414" s="259" t="s">
        <v>619</v>
      </c>
      <c r="D414" s="241">
        <f>D415+D417+D418+D419</f>
        <v>0</v>
      </c>
      <c r="E414" s="241">
        <f>E415+E417+E418+E419</f>
        <v>0</v>
      </c>
      <c r="F414" s="241">
        <f>F415+F417+F418+F419</f>
        <v>0</v>
      </c>
      <c r="J414" s="172"/>
    </row>
    <row r="415" spans="1:10" s="242" customFormat="1" ht="12.75">
      <c r="A415" s="191"/>
      <c r="B415" s="87"/>
      <c r="C415" s="259" t="s">
        <v>620</v>
      </c>
      <c r="D415" s="241"/>
      <c r="E415" s="241"/>
      <c r="F415" s="241"/>
      <c r="J415" s="172"/>
    </row>
    <row r="416" spans="1:10" s="242" customFormat="1" ht="24.75" customHeight="1">
      <c r="A416" s="191"/>
      <c r="B416" s="87"/>
      <c r="C416" s="260" t="s">
        <v>622</v>
      </c>
      <c r="D416" s="241"/>
      <c r="E416" s="241"/>
      <c r="F416" s="241"/>
      <c r="J416" s="172"/>
    </row>
    <row r="417" spans="1:10" s="242" customFormat="1" ht="12.75">
      <c r="A417" s="191"/>
      <c r="B417" s="87"/>
      <c r="C417" s="259" t="s">
        <v>627</v>
      </c>
      <c r="D417" s="241"/>
      <c r="E417" s="241"/>
      <c r="F417" s="241"/>
      <c r="J417" s="172"/>
    </row>
    <row r="418" spans="1:10" s="242" customFormat="1" ht="12.75">
      <c r="A418" s="191"/>
      <c r="B418" s="87"/>
      <c r="C418" s="259" t="s">
        <v>624</v>
      </c>
      <c r="D418" s="241"/>
      <c r="E418" s="241"/>
      <c r="F418" s="241"/>
      <c r="J418" s="172"/>
    </row>
    <row r="419" spans="1:10" s="242" customFormat="1" ht="12.75">
      <c r="A419" s="191"/>
      <c r="B419" s="87"/>
      <c r="C419" s="259" t="s">
        <v>625</v>
      </c>
      <c r="D419" s="241"/>
      <c r="E419" s="241"/>
      <c r="F419" s="241"/>
      <c r="J419" s="172"/>
    </row>
    <row r="420" spans="1:10" s="242" customFormat="1" ht="12.75">
      <c r="A420" s="191"/>
      <c r="B420" s="87"/>
      <c r="C420" s="259" t="s">
        <v>626</v>
      </c>
      <c r="D420" s="241"/>
      <c r="E420" s="241"/>
      <c r="F420" s="241"/>
      <c r="J420" s="172"/>
    </row>
    <row r="421" spans="1:11" s="242" customFormat="1" ht="12.75" customHeight="1">
      <c r="A421" s="262" t="s">
        <v>561</v>
      </c>
      <c r="B421" s="265" t="s">
        <v>562</v>
      </c>
      <c r="C421" s="264" t="s">
        <v>619</v>
      </c>
      <c r="D421" s="256">
        <f>D422+D424+D425+D426</f>
        <v>133144.195</v>
      </c>
      <c r="E421" s="256">
        <f>E422+E424+E425+E426</f>
        <v>137218.6</v>
      </c>
      <c r="F421" s="256">
        <f>F422+F424+F425+F426</f>
        <v>137829.2</v>
      </c>
      <c r="G421" s="242">
        <f>'Таблица 6'!D89</f>
        <v>133144.195</v>
      </c>
      <c r="H421" s="242">
        <f>'Таблица 6'!E89</f>
        <v>137218.6</v>
      </c>
      <c r="I421" s="242">
        <f>'Таблица 6'!F89</f>
        <v>137829.2</v>
      </c>
      <c r="J421" s="172"/>
      <c r="K421" s="242">
        <f>D421+E421+F421</f>
        <v>408191.99500000005</v>
      </c>
    </row>
    <row r="422" spans="1:10" s="242" customFormat="1" ht="12.75">
      <c r="A422" s="262"/>
      <c r="B422" s="265"/>
      <c r="C422" s="264" t="s">
        <v>620</v>
      </c>
      <c r="D422" s="256">
        <f aca="true" t="shared" si="3" ref="D422:F427">D429+D436+D443+D450+D457+D464</f>
        <v>133144.195</v>
      </c>
      <c r="E422" s="256">
        <f t="shared" si="3"/>
        <v>137218.6</v>
      </c>
      <c r="F422" s="256">
        <f t="shared" si="3"/>
        <v>137829.2</v>
      </c>
      <c r="G422" s="242">
        <f>G421-D421</f>
        <v>0</v>
      </c>
      <c r="H422" s="242">
        <f>H421-E421</f>
        <v>0</v>
      </c>
      <c r="I422" s="242">
        <f>I421-F421</f>
        <v>0</v>
      </c>
      <c r="J422" s="172"/>
    </row>
    <row r="423" spans="1:10" s="242" customFormat="1" ht="27.75" customHeight="1">
      <c r="A423" s="262"/>
      <c r="B423" s="265"/>
      <c r="C423" s="264" t="s">
        <v>622</v>
      </c>
      <c r="D423" s="256">
        <f t="shared" si="3"/>
        <v>0</v>
      </c>
      <c r="E423" s="256">
        <f t="shared" si="3"/>
        <v>0</v>
      </c>
      <c r="F423" s="256">
        <f t="shared" si="3"/>
        <v>0</v>
      </c>
      <c r="J423" s="172"/>
    </row>
    <row r="424" spans="1:10" s="242" customFormat="1" ht="12.75">
      <c r="A424" s="262"/>
      <c r="B424" s="265"/>
      <c r="C424" s="264" t="s">
        <v>627</v>
      </c>
      <c r="D424" s="256">
        <f t="shared" si="3"/>
        <v>0</v>
      </c>
      <c r="E424" s="256">
        <f t="shared" si="3"/>
        <v>0</v>
      </c>
      <c r="F424" s="256">
        <f t="shared" si="3"/>
        <v>0</v>
      </c>
      <c r="J424" s="172"/>
    </row>
    <row r="425" spans="1:10" s="242" customFormat="1" ht="12.75">
      <c r="A425" s="262"/>
      <c r="B425" s="265"/>
      <c r="C425" s="264" t="s">
        <v>624</v>
      </c>
      <c r="D425" s="256">
        <f t="shared" si="3"/>
        <v>0</v>
      </c>
      <c r="E425" s="256">
        <f t="shared" si="3"/>
        <v>0</v>
      </c>
      <c r="F425" s="256">
        <f t="shared" si="3"/>
        <v>0</v>
      </c>
      <c r="J425" s="172"/>
    </row>
    <row r="426" spans="1:10" s="242" customFormat="1" ht="12.75">
      <c r="A426" s="262"/>
      <c r="B426" s="265"/>
      <c r="C426" s="264" t="s">
        <v>625</v>
      </c>
      <c r="D426" s="256">
        <f t="shared" si="3"/>
        <v>0</v>
      </c>
      <c r="E426" s="256">
        <f t="shared" si="3"/>
        <v>0</v>
      </c>
      <c r="F426" s="256">
        <f t="shared" si="3"/>
        <v>0</v>
      </c>
      <c r="J426" s="172"/>
    </row>
    <row r="427" spans="1:10" s="242" customFormat="1" ht="12.75">
      <c r="A427" s="262"/>
      <c r="B427" s="265"/>
      <c r="C427" s="264" t="s">
        <v>626</v>
      </c>
      <c r="D427" s="256">
        <f t="shared" si="3"/>
        <v>0</v>
      </c>
      <c r="E427" s="256">
        <f t="shared" si="3"/>
        <v>0</v>
      </c>
      <c r="F427" s="256">
        <f t="shared" si="3"/>
        <v>0</v>
      </c>
      <c r="J427" s="172"/>
    </row>
    <row r="428" spans="1:10" s="242" customFormat="1" ht="12.75" customHeight="1">
      <c r="A428" s="191" t="s">
        <v>692</v>
      </c>
      <c r="B428" s="87" t="s">
        <v>693</v>
      </c>
      <c r="C428" s="259" t="s">
        <v>619</v>
      </c>
      <c r="D428" s="241">
        <f>D429+D431+D432+D433</f>
        <v>126334.595</v>
      </c>
      <c r="E428" s="241">
        <f>E429+E431+E432+E433</f>
        <v>130409</v>
      </c>
      <c r="F428" s="241">
        <f>F429+F431+F432+F433</f>
        <v>131019.6</v>
      </c>
      <c r="J428" s="172"/>
    </row>
    <row r="429" spans="1:10" s="242" customFormat="1" ht="12.75">
      <c r="A429" s="191"/>
      <c r="B429" s="87"/>
      <c r="C429" s="259" t="s">
        <v>620</v>
      </c>
      <c r="D429" s="241">
        <f>'Таблица 6'!D91</f>
        <v>126334.595</v>
      </c>
      <c r="E429" s="241">
        <f>'Таблица 6'!E91</f>
        <v>130409</v>
      </c>
      <c r="F429" s="241">
        <f>'Таблица 6'!F91</f>
        <v>131019.6</v>
      </c>
      <c r="J429" s="172"/>
    </row>
    <row r="430" spans="1:10" s="242" customFormat="1" ht="23.25" customHeight="1">
      <c r="A430" s="191"/>
      <c r="B430" s="87"/>
      <c r="C430" s="260" t="s">
        <v>622</v>
      </c>
      <c r="D430" s="241"/>
      <c r="E430" s="241"/>
      <c r="F430" s="241"/>
      <c r="J430" s="172"/>
    </row>
    <row r="431" spans="1:10" s="242" customFormat="1" ht="12.75">
      <c r="A431" s="191"/>
      <c r="B431" s="87"/>
      <c r="C431" s="259" t="s">
        <v>627</v>
      </c>
      <c r="D431" s="241"/>
      <c r="E431" s="241"/>
      <c r="F431" s="241"/>
      <c r="J431" s="172"/>
    </row>
    <row r="432" spans="1:10" s="242" customFormat="1" ht="12.75">
      <c r="A432" s="191"/>
      <c r="B432" s="87"/>
      <c r="C432" s="259" t="s">
        <v>624</v>
      </c>
      <c r="D432" s="241"/>
      <c r="E432" s="241"/>
      <c r="F432" s="241"/>
      <c r="J432" s="172"/>
    </row>
    <row r="433" spans="1:10" s="242" customFormat="1" ht="12.75">
      <c r="A433" s="191"/>
      <c r="B433" s="87"/>
      <c r="C433" s="259" t="s">
        <v>625</v>
      </c>
      <c r="D433" s="241"/>
      <c r="E433" s="241"/>
      <c r="F433" s="241"/>
      <c r="J433" s="172"/>
    </row>
    <row r="434" spans="1:10" s="242" customFormat="1" ht="12.75">
      <c r="A434" s="191"/>
      <c r="B434" s="87"/>
      <c r="C434" s="259" t="s">
        <v>626</v>
      </c>
      <c r="D434" s="241"/>
      <c r="E434" s="241"/>
      <c r="F434" s="241"/>
      <c r="J434" s="172"/>
    </row>
    <row r="435" spans="1:10" s="242" customFormat="1" ht="12.75" customHeight="1">
      <c r="A435" s="191" t="s">
        <v>694</v>
      </c>
      <c r="B435" s="92" t="s">
        <v>695</v>
      </c>
      <c r="C435" s="259" t="s">
        <v>619</v>
      </c>
      <c r="D435" s="241">
        <f>D436+D438+D439+D440</f>
        <v>5724.6</v>
      </c>
      <c r="E435" s="241">
        <f>E436+E438+E439+E440</f>
        <v>5724.6</v>
      </c>
      <c r="F435" s="241">
        <f>F436+F438+F439+F440</f>
        <v>5724.6</v>
      </c>
      <c r="J435" s="172"/>
    </row>
    <row r="436" spans="1:10" s="242" customFormat="1" ht="12.75">
      <c r="A436" s="191"/>
      <c r="B436" s="92"/>
      <c r="C436" s="259" t="s">
        <v>620</v>
      </c>
      <c r="D436" s="241">
        <f>'Таблица 6'!D92</f>
        <v>5724.6</v>
      </c>
      <c r="E436" s="241">
        <f>'Таблица 6'!E92</f>
        <v>5724.6</v>
      </c>
      <c r="F436" s="241">
        <f>'Таблица 6'!F92</f>
        <v>5724.6</v>
      </c>
      <c r="J436" s="172"/>
    </row>
    <row r="437" spans="1:10" s="242" customFormat="1" ht="24" customHeight="1">
      <c r="A437" s="191"/>
      <c r="B437" s="92"/>
      <c r="C437" s="260" t="s">
        <v>622</v>
      </c>
      <c r="D437" s="241"/>
      <c r="E437" s="241"/>
      <c r="F437" s="241"/>
      <c r="J437" s="172"/>
    </row>
    <row r="438" spans="1:10" s="242" customFormat="1" ht="12.75">
      <c r="A438" s="191"/>
      <c r="B438" s="92"/>
      <c r="C438" s="259" t="s">
        <v>627</v>
      </c>
      <c r="D438" s="241"/>
      <c r="E438" s="241"/>
      <c r="F438" s="241"/>
      <c r="J438" s="172"/>
    </row>
    <row r="439" spans="1:10" s="242" customFormat="1" ht="12.75">
      <c r="A439" s="191"/>
      <c r="B439" s="92"/>
      <c r="C439" s="259" t="s">
        <v>624</v>
      </c>
      <c r="D439" s="241"/>
      <c r="E439" s="241"/>
      <c r="F439" s="241"/>
      <c r="J439" s="172"/>
    </row>
    <row r="440" spans="1:10" s="242" customFormat="1" ht="12.75">
      <c r="A440" s="191"/>
      <c r="B440" s="92"/>
      <c r="C440" s="259" t="s">
        <v>625</v>
      </c>
      <c r="D440" s="241"/>
      <c r="E440" s="241"/>
      <c r="F440" s="241"/>
      <c r="J440" s="172"/>
    </row>
    <row r="441" spans="1:10" s="242" customFormat="1" ht="12.75">
      <c r="A441" s="191"/>
      <c r="B441" s="92"/>
      <c r="C441" s="259" t="s">
        <v>626</v>
      </c>
      <c r="D441" s="241"/>
      <c r="E441" s="241"/>
      <c r="F441" s="241"/>
      <c r="J441" s="172"/>
    </row>
    <row r="442" spans="1:10" s="242" customFormat="1" ht="12.75" customHeight="1">
      <c r="A442" s="191" t="s">
        <v>696</v>
      </c>
      <c r="B442" s="87" t="s">
        <v>568</v>
      </c>
      <c r="C442" s="259" t="s">
        <v>619</v>
      </c>
      <c r="D442" s="241">
        <f>D443+D445+D446+D447</f>
        <v>1085</v>
      </c>
      <c r="E442" s="241">
        <f>E443+E445+E446+E447</f>
        <v>1085</v>
      </c>
      <c r="F442" s="241">
        <f>F443+F445+F446+F447</f>
        <v>1085</v>
      </c>
      <c r="J442" s="172"/>
    </row>
    <row r="443" spans="1:10" s="242" customFormat="1" ht="12.75">
      <c r="A443" s="191"/>
      <c r="B443" s="87"/>
      <c r="C443" s="259" t="s">
        <v>620</v>
      </c>
      <c r="D443" s="241">
        <f>'Таблица 6'!D93</f>
        <v>1085</v>
      </c>
      <c r="E443" s="241">
        <f>'Таблица 6'!E93</f>
        <v>1085</v>
      </c>
      <c r="F443" s="241">
        <f>'Таблица 6'!F93</f>
        <v>1085</v>
      </c>
      <c r="J443" s="172"/>
    </row>
    <row r="444" spans="1:10" s="242" customFormat="1" ht="25.5" customHeight="1">
      <c r="A444" s="191"/>
      <c r="B444" s="87"/>
      <c r="C444" s="260" t="s">
        <v>622</v>
      </c>
      <c r="D444" s="241"/>
      <c r="E444" s="241"/>
      <c r="F444" s="241"/>
      <c r="J444" s="172"/>
    </row>
    <row r="445" spans="1:10" s="242" customFormat="1" ht="12.75">
      <c r="A445" s="191"/>
      <c r="B445" s="87"/>
      <c r="C445" s="259" t="s">
        <v>627</v>
      </c>
      <c r="D445" s="241"/>
      <c r="E445" s="241"/>
      <c r="F445" s="241"/>
      <c r="J445" s="172"/>
    </row>
    <row r="446" spans="1:10" s="242" customFormat="1" ht="12.75">
      <c r="A446" s="191"/>
      <c r="B446" s="87"/>
      <c r="C446" s="259" t="s">
        <v>624</v>
      </c>
      <c r="D446" s="241"/>
      <c r="E446" s="241"/>
      <c r="F446" s="241"/>
      <c r="J446" s="172"/>
    </row>
    <row r="447" spans="1:10" s="242" customFormat="1" ht="12.75">
      <c r="A447" s="191"/>
      <c r="B447" s="87"/>
      <c r="C447" s="259" t="s">
        <v>625</v>
      </c>
      <c r="D447" s="241"/>
      <c r="E447" s="241"/>
      <c r="F447" s="241"/>
      <c r="J447" s="172"/>
    </row>
    <row r="448" spans="1:10" s="242" customFormat="1" ht="12.75">
      <c r="A448" s="191"/>
      <c r="B448" s="87"/>
      <c r="C448" s="259" t="s">
        <v>626</v>
      </c>
      <c r="D448" s="241"/>
      <c r="E448" s="241"/>
      <c r="F448" s="241"/>
      <c r="J448" s="172"/>
    </row>
    <row r="449" spans="1:10" s="242" customFormat="1" ht="12.75" customHeight="1">
      <c r="A449" s="191" t="s">
        <v>697</v>
      </c>
      <c r="B449" s="92" t="s">
        <v>570</v>
      </c>
      <c r="C449" s="259" t="s">
        <v>619</v>
      </c>
      <c r="D449" s="241">
        <f>D450+D452+D453+D454</f>
        <v>0</v>
      </c>
      <c r="E449" s="241">
        <f>E450+E452+E453+E454</f>
        <v>0</v>
      </c>
      <c r="F449" s="241">
        <f>F450+F452+F453+F454</f>
        <v>0</v>
      </c>
      <c r="J449" s="172"/>
    </row>
    <row r="450" spans="1:10" s="242" customFormat="1" ht="12.75">
      <c r="A450" s="191"/>
      <c r="B450" s="92"/>
      <c r="C450" s="259" t="s">
        <v>620</v>
      </c>
      <c r="D450" s="241"/>
      <c r="E450" s="241"/>
      <c r="F450" s="241"/>
      <c r="J450" s="172"/>
    </row>
    <row r="451" spans="1:10" s="242" customFormat="1" ht="24" customHeight="1">
      <c r="A451" s="191"/>
      <c r="B451" s="92"/>
      <c r="C451" s="260" t="s">
        <v>622</v>
      </c>
      <c r="D451" s="241"/>
      <c r="E451" s="241"/>
      <c r="F451" s="241"/>
      <c r="J451" s="172"/>
    </row>
    <row r="452" spans="1:10" s="242" customFormat="1" ht="12.75">
      <c r="A452" s="191"/>
      <c r="B452" s="92"/>
      <c r="C452" s="259" t="s">
        <v>627</v>
      </c>
      <c r="D452" s="241"/>
      <c r="E452" s="241"/>
      <c r="F452" s="241"/>
      <c r="J452" s="172"/>
    </row>
    <row r="453" spans="1:10" s="242" customFormat="1" ht="14.25">
      <c r="A453" s="191"/>
      <c r="B453" s="92"/>
      <c r="C453" s="259" t="s">
        <v>624</v>
      </c>
      <c r="D453" s="241"/>
      <c r="E453" s="241"/>
      <c r="F453" s="241"/>
      <c r="J453" s="172"/>
    </row>
    <row r="454" spans="1:10" s="242" customFormat="1" ht="12.75">
      <c r="A454" s="191"/>
      <c r="B454" s="92"/>
      <c r="C454" s="259" t="s">
        <v>625</v>
      </c>
      <c r="D454" s="241"/>
      <c r="E454" s="241"/>
      <c r="F454" s="241"/>
      <c r="J454" s="172"/>
    </row>
    <row r="455" spans="1:10" s="242" customFormat="1" ht="12.75">
      <c r="A455" s="191"/>
      <c r="B455" s="92"/>
      <c r="C455" s="259" t="s">
        <v>626</v>
      </c>
      <c r="D455" s="241"/>
      <c r="E455" s="241"/>
      <c r="F455" s="241"/>
      <c r="J455" s="172"/>
    </row>
    <row r="456" spans="1:10" s="242" customFormat="1" ht="12.75" customHeight="1">
      <c r="A456" s="191" t="s">
        <v>698</v>
      </c>
      <c r="B456" s="92" t="s">
        <v>572</v>
      </c>
      <c r="C456" s="259" t="s">
        <v>619</v>
      </c>
      <c r="D456" s="241">
        <f>D457+D459+D460+D461</f>
        <v>0</v>
      </c>
      <c r="E456" s="241">
        <f>E457+E459+E460+E461</f>
        <v>0</v>
      </c>
      <c r="F456" s="241">
        <f>F457+F459+F460+F461</f>
        <v>0</v>
      </c>
      <c r="J456" s="172"/>
    </row>
    <row r="457" spans="1:10" s="242" customFormat="1" ht="14.25">
      <c r="A457" s="191"/>
      <c r="B457" s="92"/>
      <c r="C457" s="259" t="s">
        <v>620</v>
      </c>
      <c r="D457" s="241"/>
      <c r="E457" s="241"/>
      <c r="F457" s="241"/>
      <c r="J457" s="172"/>
    </row>
    <row r="458" spans="1:10" s="242" customFormat="1" ht="24" customHeight="1">
      <c r="A458" s="191"/>
      <c r="B458" s="92"/>
      <c r="C458" s="260" t="s">
        <v>622</v>
      </c>
      <c r="D458" s="241"/>
      <c r="E458" s="241"/>
      <c r="F458" s="241"/>
      <c r="J458" s="172"/>
    </row>
    <row r="459" spans="1:10" s="242" customFormat="1" ht="12.75">
      <c r="A459" s="191"/>
      <c r="B459" s="92"/>
      <c r="C459" s="259" t="s">
        <v>627</v>
      </c>
      <c r="D459" s="241"/>
      <c r="E459" s="241"/>
      <c r="F459" s="241"/>
      <c r="J459" s="172"/>
    </row>
    <row r="460" spans="1:10" s="242" customFormat="1" ht="12.75">
      <c r="A460" s="191"/>
      <c r="B460" s="92"/>
      <c r="C460" s="259" t="s">
        <v>624</v>
      </c>
      <c r="D460" s="241"/>
      <c r="E460" s="241"/>
      <c r="F460" s="241"/>
      <c r="J460" s="172"/>
    </row>
    <row r="461" spans="1:10" s="242" customFormat="1" ht="12.75">
      <c r="A461" s="191"/>
      <c r="B461" s="92"/>
      <c r="C461" s="259" t="s">
        <v>625</v>
      </c>
      <c r="D461" s="241"/>
      <c r="E461" s="241"/>
      <c r="F461" s="241"/>
      <c r="J461" s="172"/>
    </row>
    <row r="462" spans="1:10" s="242" customFormat="1" ht="12.75">
      <c r="A462" s="191"/>
      <c r="B462" s="92"/>
      <c r="C462" s="259" t="s">
        <v>626</v>
      </c>
      <c r="D462" s="241"/>
      <c r="E462" s="241"/>
      <c r="F462" s="241"/>
      <c r="J462" s="172"/>
    </row>
    <row r="463" spans="1:10" s="242" customFormat="1" ht="12.75" customHeight="1">
      <c r="A463" s="191" t="s">
        <v>699</v>
      </c>
      <c r="B463" s="92" t="s">
        <v>574</v>
      </c>
      <c r="C463" s="259" t="s">
        <v>619</v>
      </c>
      <c r="D463" s="241">
        <f>D464+D466+D467+D468</f>
        <v>0</v>
      </c>
      <c r="E463" s="241">
        <f>E464+E466+E467+E468</f>
        <v>0</v>
      </c>
      <c r="F463" s="241">
        <f>F464+F466+F467+F468</f>
        <v>0</v>
      </c>
      <c r="J463" s="172"/>
    </row>
    <row r="464" spans="1:10" s="242" customFormat="1" ht="14.25">
      <c r="A464" s="191"/>
      <c r="B464" s="92"/>
      <c r="C464" s="259" t="s">
        <v>620</v>
      </c>
      <c r="D464" s="241"/>
      <c r="E464" s="241"/>
      <c r="F464" s="241"/>
      <c r="J464" s="172"/>
    </row>
    <row r="465" spans="1:10" s="242" customFormat="1" ht="24" customHeight="1">
      <c r="A465" s="191"/>
      <c r="B465" s="92"/>
      <c r="C465" s="260" t="s">
        <v>622</v>
      </c>
      <c r="D465" s="241"/>
      <c r="E465" s="241"/>
      <c r="F465" s="241"/>
      <c r="J465" s="172"/>
    </row>
    <row r="466" spans="1:10" s="242" customFormat="1" ht="12.75">
      <c r="A466" s="191"/>
      <c r="B466" s="92"/>
      <c r="C466" s="259" t="s">
        <v>627</v>
      </c>
      <c r="D466" s="241"/>
      <c r="E466" s="241"/>
      <c r="F466" s="241"/>
      <c r="J466" s="172"/>
    </row>
    <row r="467" spans="1:10" s="242" customFormat="1" ht="12.75">
      <c r="A467" s="191"/>
      <c r="B467" s="92"/>
      <c r="C467" s="259" t="s">
        <v>624</v>
      </c>
      <c r="D467" s="241"/>
      <c r="E467" s="241"/>
      <c r="F467" s="241"/>
      <c r="J467" s="172"/>
    </row>
    <row r="468" spans="1:10" s="242" customFormat="1" ht="12.75">
      <c r="A468" s="191"/>
      <c r="B468" s="92"/>
      <c r="C468" s="259" t="s">
        <v>625</v>
      </c>
      <c r="D468" s="241"/>
      <c r="E468" s="241"/>
      <c r="F468" s="241"/>
      <c r="J468" s="172"/>
    </row>
    <row r="469" spans="1:10" s="242" customFormat="1" ht="12.75">
      <c r="A469" s="191"/>
      <c r="B469" s="92"/>
      <c r="C469" s="259" t="s">
        <v>626</v>
      </c>
      <c r="D469" s="241"/>
      <c r="E469" s="241"/>
      <c r="F469" s="241"/>
      <c r="J469" s="172"/>
    </row>
  </sheetData>
  <sheetProtection selectLockedCells="1" selectUnlockedCells="1"/>
  <autoFilter ref="A7:F469"/>
  <mergeCells count="139">
    <mergeCell ref="D1:F1"/>
    <mergeCell ref="D2:F2"/>
    <mergeCell ref="A3:F3"/>
    <mergeCell ref="A5:A6"/>
    <mergeCell ref="B5:B6"/>
    <mergeCell ref="C5:C6"/>
    <mergeCell ref="D5:F5"/>
    <mergeCell ref="A8:A14"/>
    <mergeCell ref="B8:B14"/>
    <mergeCell ref="A15:A21"/>
    <mergeCell ref="B15:B21"/>
    <mergeCell ref="A22:A28"/>
    <mergeCell ref="B22:B28"/>
    <mergeCell ref="A29:A35"/>
    <mergeCell ref="B29:B35"/>
    <mergeCell ref="A36:A42"/>
    <mergeCell ref="B36:B42"/>
    <mergeCell ref="A43:A49"/>
    <mergeCell ref="B43:B49"/>
    <mergeCell ref="A50:A56"/>
    <mergeCell ref="B50:B56"/>
    <mergeCell ref="A57:A63"/>
    <mergeCell ref="B57:B63"/>
    <mergeCell ref="A64:A70"/>
    <mergeCell ref="B64:B70"/>
    <mergeCell ref="A71:A77"/>
    <mergeCell ref="B71:B77"/>
    <mergeCell ref="A78:A84"/>
    <mergeCell ref="B78:B84"/>
    <mergeCell ref="A85:A91"/>
    <mergeCell ref="B85:B91"/>
    <mergeCell ref="A92:A98"/>
    <mergeCell ref="B92:B98"/>
    <mergeCell ref="A99:A105"/>
    <mergeCell ref="B99:B105"/>
    <mergeCell ref="A106:A112"/>
    <mergeCell ref="B106:B112"/>
    <mergeCell ref="A113:A119"/>
    <mergeCell ref="B113:B119"/>
    <mergeCell ref="A120:A126"/>
    <mergeCell ref="B120:B126"/>
    <mergeCell ref="A127:A133"/>
    <mergeCell ref="B127:B133"/>
    <mergeCell ref="A134:A140"/>
    <mergeCell ref="B134:B140"/>
    <mergeCell ref="A141:A147"/>
    <mergeCell ref="B141:B147"/>
    <mergeCell ref="A148:A154"/>
    <mergeCell ref="B148:B154"/>
    <mergeCell ref="A155:A161"/>
    <mergeCell ref="B155:B161"/>
    <mergeCell ref="A162:A168"/>
    <mergeCell ref="B162:B168"/>
    <mergeCell ref="A169:A175"/>
    <mergeCell ref="B169:B175"/>
    <mergeCell ref="A176:A182"/>
    <mergeCell ref="B176:B182"/>
    <mergeCell ref="A183:A189"/>
    <mergeCell ref="B183:B189"/>
    <mergeCell ref="A190:A196"/>
    <mergeCell ref="B190:B196"/>
    <mergeCell ref="A197:A203"/>
    <mergeCell ref="B197:B203"/>
    <mergeCell ref="A204:A210"/>
    <mergeCell ref="B204:B210"/>
    <mergeCell ref="A211:A217"/>
    <mergeCell ref="B211:B217"/>
    <mergeCell ref="A218:A224"/>
    <mergeCell ref="B218:B224"/>
    <mergeCell ref="A225:A231"/>
    <mergeCell ref="B225:B231"/>
    <mergeCell ref="A232:A238"/>
    <mergeCell ref="B232:B238"/>
    <mergeCell ref="A239:A245"/>
    <mergeCell ref="B239:B245"/>
    <mergeCell ref="A246:A252"/>
    <mergeCell ref="B246:B252"/>
    <mergeCell ref="A253:A259"/>
    <mergeCell ref="B253:B259"/>
    <mergeCell ref="A260:A266"/>
    <mergeCell ref="B260:B266"/>
    <mergeCell ref="A267:A273"/>
    <mergeCell ref="B267:B273"/>
    <mergeCell ref="A274:A280"/>
    <mergeCell ref="B274:B280"/>
    <mergeCell ref="A281:A287"/>
    <mergeCell ref="B281:B287"/>
    <mergeCell ref="A288:A294"/>
    <mergeCell ref="B288:B294"/>
    <mergeCell ref="A295:A301"/>
    <mergeCell ref="B295:B301"/>
    <mergeCell ref="A302:A308"/>
    <mergeCell ref="B302:B308"/>
    <mergeCell ref="A309:A315"/>
    <mergeCell ref="B309:B315"/>
    <mergeCell ref="A316:A322"/>
    <mergeCell ref="B316:B322"/>
    <mergeCell ref="A323:A329"/>
    <mergeCell ref="B323:B329"/>
    <mergeCell ref="A330:A336"/>
    <mergeCell ref="B330:B336"/>
    <mergeCell ref="A337:A343"/>
    <mergeCell ref="B337:B343"/>
    <mergeCell ref="A344:A350"/>
    <mergeCell ref="B344:B350"/>
    <mergeCell ref="A351:A357"/>
    <mergeCell ref="B351:B357"/>
    <mergeCell ref="A358:A364"/>
    <mergeCell ref="B358:B364"/>
    <mergeCell ref="A365:A371"/>
    <mergeCell ref="B365:B371"/>
    <mergeCell ref="A372:A378"/>
    <mergeCell ref="B372:B378"/>
    <mergeCell ref="A379:A385"/>
    <mergeCell ref="B379:B385"/>
    <mergeCell ref="A386:A392"/>
    <mergeCell ref="B386:B392"/>
    <mergeCell ref="A393:A399"/>
    <mergeCell ref="B393:B399"/>
    <mergeCell ref="A400:A406"/>
    <mergeCell ref="B400:B406"/>
    <mergeCell ref="A407:A413"/>
    <mergeCell ref="B407:B413"/>
    <mergeCell ref="A414:A420"/>
    <mergeCell ref="B414:B420"/>
    <mergeCell ref="A421:A427"/>
    <mergeCell ref="B421:B427"/>
    <mergeCell ref="A428:A434"/>
    <mergeCell ref="B428:B434"/>
    <mergeCell ref="A435:A441"/>
    <mergeCell ref="B435:B441"/>
    <mergeCell ref="A442:A448"/>
    <mergeCell ref="B442:B448"/>
    <mergeCell ref="A449:A455"/>
    <mergeCell ref="B449:B455"/>
    <mergeCell ref="A456:A462"/>
    <mergeCell ref="B456:B462"/>
    <mergeCell ref="A463:A469"/>
    <mergeCell ref="B463:B469"/>
  </mergeCells>
  <printOptions/>
  <pageMargins left="0.5902777777777778" right="0.39375" top="0.39375" bottom="0.39375" header="0.5118055555555555" footer="0.5118055555555555"/>
  <pageSetup fitToHeight="27" fitToWidth="1" horizontalDpi="300" verticalDpi="300" orientation="portrait" paperSize="9"/>
  <rowBreaks count="1" manualBreakCount="1">
    <brk id="378" max="255" man="1"/>
  </rowBreaks>
</worksheet>
</file>

<file path=xl/worksheets/sheet9.xml><?xml version="1.0" encoding="utf-8"?>
<worksheet xmlns="http://schemas.openxmlformats.org/spreadsheetml/2006/main" xmlns:r="http://schemas.openxmlformats.org/officeDocument/2006/relationships">
  <sheetPr>
    <tabColor indexed="54"/>
    <pageSetUpPr fitToPage="1"/>
  </sheetPr>
  <dimension ref="A1:R526"/>
  <sheetViews>
    <sheetView zoomScaleSheetLayoutView="85" workbookViewId="0" topLeftCell="A184">
      <selection activeCell="B5" sqref="B5"/>
    </sheetView>
  </sheetViews>
  <sheetFormatPr defaultColWidth="9.00390625" defaultRowHeight="12.75"/>
  <cols>
    <col min="1" max="1" width="17.00390625" style="172" customWidth="1"/>
    <col min="2" max="2" width="60.50390625" style="56" customWidth="1"/>
    <col min="3" max="3" width="50.875" style="56" customWidth="1"/>
    <col min="4" max="6" width="16.50390625" style="56" customWidth="1"/>
    <col min="7" max="7" width="16.50390625" style="173" customWidth="1"/>
    <col min="8" max="11" width="0" style="95" hidden="1" customWidth="1"/>
    <col min="12" max="12" width="0" style="56" hidden="1" customWidth="1"/>
    <col min="13" max="14" width="9.125" style="56" customWidth="1"/>
    <col min="15" max="15" width="11.625" style="56" customWidth="1"/>
    <col min="16" max="16" width="12.125" style="56" customWidth="1"/>
    <col min="17" max="17" width="11.50390625" style="56" customWidth="1"/>
    <col min="18" max="18" width="12.00390625" style="56" customWidth="1"/>
    <col min="19" max="16384" width="9.125" style="56" customWidth="1"/>
  </cols>
  <sheetData>
    <row r="1" spans="1:11" s="60" customFormat="1" ht="15">
      <c r="A1" s="174"/>
      <c r="B1" s="175"/>
      <c r="C1" s="175"/>
      <c r="D1" s="58"/>
      <c r="E1" s="132"/>
      <c r="F1" s="132"/>
      <c r="G1" s="132"/>
      <c r="H1" s="266"/>
      <c r="I1" s="266"/>
      <c r="J1" s="266"/>
      <c r="K1" s="266"/>
    </row>
    <row r="2" spans="1:11" s="60" customFormat="1" ht="15" customHeight="1">
      <c r="A2" s="174"/>
      <c r="B2" s="175"/>
      <c r="C2" s="175"/>
      <c r="D2" s="58"/>
      <c r="E2" s="59" t="s">
        <v>614</v>
      </c>
      <c r="F2" s="59"/>
      <c r="G2" s="59"/>
      <c r="H2" s="266"/>
      <c r="I2" s="266"/>
      <c r="J2" s="266"/>
      <c r="K2" s="266"/>
    </row>
    <row r="3" spans="1:11" s="60" customFormat="1" ht="69" customHeight="1">
      <c r="A3" s="218" t="s">
        <v>615</v>
      </c>
      <c r="B3" s="218"/>
      <c r="C3" s="218"/>
      <c r="D3" s="218"/>
      <c r="E3" s="218"/>
      <c r="F3" s="218"/>
      <c r="G3" s="218"/>
      <c r="H3" s="267"/>
      <c r="I3" s="266"/>
      <c r="J3" s="266"/>
      <c r="K3" s="266"/>
    </row>
    <row r="4" spans="1:11" s="60" customFormat="1" ht="21.75" customHeight="1">
      <c r="A4" s="178"/>
      <c r="B4" s="178"/>
      <c r="C4" s="178"/>
      <c r="D4" s="178"/>
      <c r="E4" s="179"/>
      <c r="F4" s="179"/>
      <c r="G4" s="179"/>
      <c r="H4" s="266"/>
      <c r="I4" s="266"/>
      <c r="J4" s="266"/>
      <c r="K4" s="266"/>
    </row>
    <row r="5" spans="1:7" ht="37.5" customHeight="1">
      <c r="A5" s="180" t="s">
        <v>432</v>
      </c>
      <c r="B5" s="181" t="s">
        <v>581</v>
      </c>
      <c r="C5" s="181" t="s">
        <v>616</v>
      </c>
      <c r="D5" s="182" t="s">
        <v>617</v>
      </c>
      <c r="E5" s="182"/>
      <c r="F5" s="182"/>
      <c r="G5" s="182"/>
    </row>
    <row r="6" spans="1:7" ht="25.5" customHeight="1">
      <c r="A6" s="180"/>
      <c r="B6" s="181"/>
      <c r="C6" s="181"/>
      <c r="D6" s="182">
        <v>2013</v>
      </c>
      <c r="E6" s="182">
        <v>2014</v>
      </c>
      <c r="F6" s="182">
        <v>2015</v>
      </c>
      <c r="G6" s="220">
        <v>2016</v>
      </c>
    </row>
    <row r="7" spans="1:12" ht="12.75">
      <c r="A7" s="180">
        <v>1</v>
      </c>
      <c r="B7" s="180">
        <v>2</v>
      </c>
      <c r="C7" s="180">
        <v>3</v>
      </c>
      <c r="D7" s="183">
        <v>4</v>
      </c>
      <c r="E7" s="183">
        <v>5</v>
      </c>
      <c r="F7" s="183">
        <v>6</v>
      </c>
      <c r="G7" s="220">
        <v>7</v>
      </c>
      <c r="H7" s="95">
        <f>'[1]Таблица 6'!D8</f>
        <v>8960854.21797</v>
      </c>
      <c r="I7" s="95">
        <f>'[1]Таблица 6'!E8</f>
        <v>9895852.81</v>
      </c>
      <c r="J7" s="95">
        <f>'[1]Таблица 6'!F8</f>
        <v>10097087.539999997</v>
      </c>
      <c r="K7" s="95">
        <f>'[1]Таблица 6'!G8</f>
        <v>10727266.62</v>
      </c>
      <c r="L7" s="56" t="s">
        <v>618</v>
      </c>
    </row>
    <row r="8" spans="1:18" ht="12.75" customHeight="1">
      <c r="A8" s="184" t="s">
        <v>436</v>
      </c>
      <c r="B8" s="185" t="s">
        <v>437</v>
      </c>
      <c r="C8" s="268" t="s">
        <v>619</v>
      </c>
      <c r="D8" s="221">
        <f>D9+D11+D12+D13+D14</f>
        <v>8960854.217970002</v>
      </c>
      <c r="E8" s="221">
        <f>E9+E11+E12+E13+E14</f>
        <v>9895852.810000002</v>
      </c>
      <c r="F8" s="221">
        <f>F9+F11+F12+F13+F14</f>
        <v>10097087.54</v>
      </c>
      <c r="G8" s="221">
        <v>10727266.6</v>
      </c>
      <c r="H8" s="95">
        <f>H7-D8</f>
        <v>0</v>
      </c>
      <c r="I8" s="95">
        <f>I7-E8</f>
        <v>0</v>
      </c>
      <c r="J8" s="95">
        <f>J7-F8</f>
        <v>0</v>
      </c>
      <c r="K8" s="95">
        <f>K7-G8</f>
        <v>0.019999999552965164</v>
      </c>
      <c r="O8" s="223"/>
      <c r="P8" s="223"/>
      <c r="Q8" s="223"/>
      <c r="R8" s="223"/>
    </row>
    <row r="9" spans="1:18" ht="12.75">
      <c r="A9" s="184"/>
      <c r="B9" s="185"/>
      <c r="C9" s="268" t="s">
        <v>620</v>
      </c>
      <c r="D9" s="221">
        <f aca="true" t="shared" si="0" ref="D9:G14">D16+D345+D471</f>
        <v>8960854.217970002</v>
      </c>
      <c r="E9" s="221">
        <f t="shared" si="0"/>
        <v>9895852.810000002</v>
      </c>
      <c r="F9" s="221">
        <f t="shared" si="0"/>
        <v>10097087.54</v>
      </c>
      <c r="G9" s="221">
        <f t="shared" si="0"/>
        <v>10727266.620000001</v>
      </c>
      <c r="H9" s="95">
        <f>'[1]Таблица 6'!M8</f>
        <v>1298731.952</v>
      </c>
      <c r="I9" s="95">
        <f>'[1]Таблица 6'!N8</f>
        <v>1793743.7000000002</v>
      </c>
      <c r="J9" s="95">
        <f>'[1]Таблица 6'!O8</f>
        <v>1879751.9000000001</v>
      </c>
      <c r="K9" s="95">
        <f>'[1]Таблица 6'!P8</f>
        <v>1937963.5000000002</v>
      </c>
      <c r="L9" s="56" t="s">
        <v>621</v>
      </c>
      <c r="O9" s="223"/>
      <c r="P9" s="223"/>
      <c r="Q9" s="223"/>
      <c r="R9" s="223"/>
    </row>
    <row r="10" spans="1:18" ht="12.75">
      <c r="A10" s="184"/>
      <c r="B10" s="185"/>
      <c r="C10" s="269" t="s">
        <v>700</v>
      </c>
      <c r="D10" s="221">
        <f t="shared" si="0"/>
        <v>1298731.952</v>
      </c>
      <c r="E10" s="221">
        <f t="shared" si="0"/>
        <v>1793743.7000000002</v>
      </c>
      <c r="F10" s="221">
        <f t="shared" si="0"/>
        <v>1879751.9000000001</v>
      </c>
      <c r="G10" s="221">
        <f t="shared" si="0"/>
        <v>1937963.5000000002</v>
      </c>
      <c r="H10" s="95">
        <f>H9-D10</f>
        <v>0</v>
      </c>
      <c r="I10" s="95">
        <f>I9-E10</f>
        <v>0</v>
      </c>
      <c r="J10" s="95">
        <f>J9-F10</f>
        <v>0</v>
      </c>
      <c r="K10" s="95">
        <f>K9-G10</f>
        <v>0</v>
      </c>
      <c r="O10" s="223"/>
      <c r="P10" s="223"/>
      <c r="Q10" s="223"/>
      <c r="R10" s="223"/>
    </row>
    <row r="11" spans="1:18" ht="12.75">
      <c r="A11" s="184"/>
      <c r="B11" s="185"/>
      <c r="C11" s="268" t="s">
        <v>627</v>
      </c>
      <c r="D11" s="221">
        <f t="shared" si="0"/>
        <v>0</v>
      </c>
      <c r="E11" s="221">
        <f t="shared" si="0"/>
        <v>0</v>
      </c>
      <c r="F11" s="221">
        <f t="shared" si="0"/>
        <v>0</v>
      </c>
      <c r="G11" s="221">
        <f t="shared" si="0"/>
        <v>0</v>
      </c>
      <c r="O11" s="223"/>
      <c r="P11" s="223"/>
      <c r="Q11" s="223"/>
      <c r="R11" s="223"/>
    </row>
    <row r="12" spans="1:18" ht="12.75">
      <c r="A12" s="184"/>
      <c r="B12" s="185"/>
      <c r="C12" s="268" t="s">
        <v>701</v>
      </c>
      <c r="D12" s="221">
        <f t="shared" si="0"/>
        <v>0</v>
      </c>
      <c r="E12" s="221">
        <f t="shared" si="0"/>
        <v>0</v>
      </c>
      <c r="F12" s="221">
        <f t="shared" si="0"/>
        <v>0</v>
      </c>
      <c r="G12" s="221">
        <f t="shared" si="0"/>
        <v>0</v>
      </c>
      <c r="O12" s="223"/>
      <c r="P12" s="223"/>
      <c r="Q12" s="223"/>
      <c r="R12" s="223"/>
    </row>
    <row r="13" spans="1:18" ht="12.75">
      <c r="A13" s="184"/>
      <c r="B13" s="185"/>
      <c r="C13" s="268" t="s">
        <v>625</v>
      </c>
      <c r="D13" s="221">
        <f t="shared" si="0"/>
        <v>0</v>
      </c>
      <c r="E13" s="221">
        <f t="shared" si="0"/>
        <v>0</v>
      </c>
      <c r="F13" s="221">
        <f t="shared" si="0"/>
        <v>0</v>
      </c>
      <c r="G13" s="221">
        <f t="shared" si="0"/>
        <v>0</v>
      </c>
      <c r="O13" s="223"/>
      <c r="P13" s="223"/>
      <c r="Q13" s="223"/>
      <c r="R13" s="223"/>
    </row>
    <row r="14" spans="1:18" ht="12.75">
      <c r="A14" s="184"/>
      <c r="B14" s="185"/>
      <c r="C14" s="268" t="s">
        <v>626</v>
      </c>
      <c r="D14" s="221">
        <f t="shared" si="0"/>
        <v>0</v>
      </c>
      <c r="E14" s="221">
        <f t="shared" si="0"/>
        <v>0</v>
      </c>
      <c r="F14" s="221">
        <f t="shared" si="0"/>
        <v>0</v>
      </c>
      <c r="G14" s="221">
        <v>0</v>
      </c>
      <c r="O14" s="223"/>
      <c r="P14" s="223"/>
      <c r="Q14" s="223"/>
      <c r="R14" s="223"/>
    </row>
    <row r="15" spans="1:18" ht="12.75" customHeight="1">
      <c r="A15" s="189" t="s">
        <v>441</v>
      </c>
      <c r="B15" s="185" t="s">
        <v>442</v>
      </c>
      <c r="C15" s="270" t="s">
        <v>619</v>
      </c>
      <c r="D15" s="221">
        <f>D16+D18+D19+D20+D21</f>
        <v>6336456.739890002</v>
      </c>
      <c r="E15" s="221">
        <f>E16+E18+E19+E20+E21</f>
        <v>7125917.300000001</v>
      </c>
      <c r="F15" s="221">
        <f>F16+F18+F19+F20+F21</f>
        <v>7388610.259999999</v>
      </c>
      <c r="G15" s="221">
        <f>G16+G18+G19+G20+G21</f>
        <v>7717299.69</v>
      </c>
      <c r="O15" s="223"/>
      <c r="P15" s="223"/>
      <c r="Q15" s="223"/>
      <c r="R15" s="223"/>
    </row>
    <row r="16" spans="1:18" ht="12.75">
      <c r="A16" s="189"/>
      <c r="B16" s="185"/>
      <c r="C16" s="270" t="s">
        <v>620</v>
      </c>
      <c r="D16" s="221">
        <f aca="true" t="shared" si="1" ref="D16:G21">D23+D30+D37+D44+D51+D58+D65+D72+D79+D86+D93+D100+D107+D114+D121+D128+D135+D142+D149+D156+D163+D170+D177+D184+D191+D205+D212+D198+D219+D226+D233+D240+D247+D254+D261+D268+D275+D282+D289+D296+D303+D310+D317+D324+D331+D338</f>
        <v>6336456.739890002</v>
      </c>
      <c r="E16" s="221">
        <f t="shared" si="1"/>
        <v>7125917.300000001</v>
      </c>
      <c r="F16" s="221">
        <f t="shared" si="1"/>
        <v>7388610.259999999</v>
      </c>
      <c r="G16" s="221">
        <f t="shared" si="1"/>
        <v>7717299.69</v>
      </c>
      <c r="O16" s="223"/>
      <c r="P16" s="223"/>
      <c r="Q16" s="223"/>
      <c r="R16" s="223"/>
    </row>
    <row r="17" spans="1:18" ht="12.75">
      <c r="A17" s="189"/>
      <c r="B17" s="185"/>
      <c r="C17" s="271" t="s">
        <v>700</v>
      </c>
      <c r="D17" s="221">
        <f t="shared" si="1"/>
        <v>1294885.852</v>
      </c>
      <c r="E17" s="221">
        <f t="shared" si="1"/>
        <v>1793329.2000000002</v>
      </c>
      <c r="F17" s="221">
        <f t="shared" si="1"/>
        <v>1879316.6</v>
      </c>
      <c r="G17" s="221">
        <f t="shared" si="1"/>
        <v>1937528.2000000002</v>
      </c>
      <c r="O17" s="223"/>
      <c r="P17" s="223"/>
      <c r="Q17" s="223"/>
      <c r="R17" s="223"/>
    </row>
    <row r="18" spans="1:18" ht="12.75">
      <c r="A18" s="189"/>
      <c r="B18" s="185"/>
      <c r="C18" s="270" t="s">
        <v>627</v>
      </c>
      <c r="D18" s="221">
        <f t="shared" si="1"/>
        <v>0</v>
      </c>
      <c r="E18" s="221">
        <f t="shared" si="1"/>
        <v>0</v>
      </c>
      <c r="F18" s="221">
        <f t="shared" si="1"/>
        <v>0</v>
      </c>
      <c r="G18" s="221">
        <f t="shared" si="1"/>
        <v>0</v>
      </c>
      <c r="O18" s="223"/>
      <c r="P18" s="223"/>
      <c r="Q18" s="223"/>
      <c r="R18" s="223"/>
    </row>
    <row r="19" spans="1:18" ht="12.75">
      <c r="A19" s="189"/>
      <c r="B19" s="185"/>
      <c r="C19" s="270" t="s">
        <v>701</v>
      </c>
      <c r="D19" s="221">
        <f t="shared" si="1"/>
        <v>0</v>
      </c>
      <c r="E19" s="221">
        <f t="shared" si="1"/>
        <v>0</v>
      </c>
      <c r="F19" s="221">
        <f t="shared" si="1"/>
        <v>0</v>
      </c>
      <c r="G19" s="221">
        <f t="shared" si="1"/>
        <v>0</v>
      </c>
      <c r="O19" s="223"/>
      <c r="P19" s="223"/>
      <c r="Q19" s="223"/>
      <c r="R19" s="223"/>
    </row>
    <row r="20" spans="1:18" ht="12.75">
      <c r="A20" s="189"/>
      <c r="B20" s="185"/>
      <c r="C20" s="270" t="s">
        <v>625</v>
      </c>
      <c r="D20" s="221">
        <f t="shared" si="1"/>
        <v>0</v>
      </c>
      <c r="E20" s="221">
        <f t="shared" si="1"/>
        <v>0</v>
      </c>
      <c r="F20" s="221">
        <f t="shared" si="1"/>
        <v>0</v>
      </c>
      <c r="G20" s="221">
        <f t="shared" si="1"/>
        <v>0</v>
      </c>
      <c r="O20" s="223"/>
      <c r="P20" s="223"/>
      <c r="Q20" s="223"/>
      <c r="R20" s="223"/>
    </row>
    <row r="21" spans="1:18" ht="12.75">
      <c r="A21" s="189"/>
      <c r="B21" s="185"/>
      <c r="C21" s="270" t="s">
        <v>626</v>
      </c>
      <c r="D21" s="221">
        <f t="shared" si="1"/>
        <v>0</v>
      </c>
      <c r="E21" s="221">
        <f t="shared" si="1"/>
        <v>0</v>
      </c>
      <c r="F21" s="221">
        <f t="shared" si="1"/>
        <v>0</v>
      </c>
      <c r="G21" s="221">
        <f t="shared" si="1"/>
        <v>0</v>
      </c>
      <c r="O21" s="223"/>
      <c r="P21" s="223"/>
      <c r="Q21" s="223"/>
      <c r="R21" s="223"/>
    </row>
    <row r="22" spans="1:8" ht="12.75" customHeight="1">
      <c r="A22" s="191" t="s">
        <v>443</v>
      </c>
      <c r="B22" s="88" t="s">
        <v>444</v>
      </c>
      <c r="C22" s="272" t="s">
        <v>619</v>
      </c>
      <c r="D22" s="209">
        <f>D23+D25+D26+D27</f>
        <v>2683495.6038900004</v>
      </c>
      <c r="E22" s="209">
        <f>E23+E25+E26+E27</f>
        <v>2884211.1</v>
      </c>
      <c r="F22" s="209">
        <f>F23+F25+F26+F27</f>
        <v>3043695</v>
      </c>
      <c r="G22" s="209">
        <f>G23+G25+G26+G27</f>
        <v>3204132.7</v>
      </c>
      <c r="H22" s="242"/>
    </row>
    <row r="23" spans="1:7" ht="12.75">
      <c r="A23" s="191"/>
      <c r="B23" s="88"/>
      <c r="C23" s="272" t="s">
        <v>620</v>
      </c>
      <c r="D23" s="209">
        <f>'[1]Таблица 6'!D19+'[1]Таблица 6'!D20</f>
        <v>2683495.6038900004</v>
      </c>
      <c r="E23" s="209">
        <f>'[1]Таблица 6'!E19+'[1]Таблица 6'!E20</f>
        <v>2884211.1</v>
      </c>
      <c r="F23" s="209">
        <f>'[1]Таблица 6'!F19+'[1]Таблица 6'!F20</f>
        <v>3043695</v>
      </c>
      <c r="G23" s="209">
        <f>'[1]Таблица 6'!G19+'[1]Таблица 6'!G20</f>
        <v>3204132.7</v>
      </c>
    </row>
    <row r="24" spans="1:7" ht="12.75">
      <c r="A24" s="191"/>
      <c r="B24" s="88"/>
      <c r="C24" s="273" t="s">
        <v>700</v>
      </c>
      <c r="D24" s="209"/>
      <c r="E24" s="209"/>
      <c r="F24" s="209"/>
      <c r="G24" s="163"/>
    </row>
    <row r="25" spans="1:7" ht="12.75">
      <c r="A25" s="191"/>
      <c r="B25" s="88"/>
      <c r="C25" s="272" t="s">
        <v>627</v>
      </c>
      <c r="D25" s="209"/>
      <c r="E25" s="209"/>
      <c r="F25" s="209"/>
      <c r="G25" s="163"/>
    </row>
    <row r="26" spans="1:7" ht="12.75">
      <c r="A26" s="191"/>
      <c r="B26" s="88"/>
      <c r="C26" s="272" t="s">
        <v>701</v>
      </c>
      <c r="D26" s="209"/>
      <c r="E26" s="209"/>
      <c r="F26" s="209"/>
      <c r="G26" s="163"/>
    </row>
    <row r="27" spans="1:7" ht="12.75">
      <c r="A27" s="191"/>
      <c r="B27" s="88"/>
      <c r="C27" s="272" t="s">
        <v>625</v>
      </c>
      <c r="D27" s="209"/>
      <c r="E27" s="209"/>
      <c r="F27" s="209"/>
      <c r="G27" s="163"/>
    </row>
    <row r="28" spans="1:7" ht="12.75">
      <c r="A28" s="191"/>
      <c r="B28" s="88"/>
      <c r="C28" s="272" t="s">
        <v>626</v>
      </c>
      <c r="D28" s="209"/>
      <c r="E28" s="209"/>
      <c r="F28" s="209"/>
      <c r="G28" s="209"/>
    </row>
    <row r="29" spans="1:7" ht="12.75" customHeight="1">
      <c r="A29" s="191" t="s">
        <v>702</v>
      </c>
      <c r="B29" s="194" t="s">
        <v>446</v>
      </c>
      <c r="C29" s="272" t="s">
        <v>619</v>
      </c>
      <c r="D29" s="209">
        <f>D30+D32+D33+D34</f>
        <v>718682.8</v>
      </c>
      <c r="E29" s="209">
        <f>E30+E32+E33+E34</f>
        <v>936491.7</v>
      </c>
      <c r="F29" s="209">
        <f>F30+F32+F33+F34</f>
        <v>973091.1</v>
      </c>
      <c r="G29" s="209">
        <f>G30+G32+G33+G34</f>
        <v>982139.3</v>
      </c>
    </row>
    <row r="30" spans="1:7" ht="12.75">
      <c r="A30" s="191"/>
      <c r="B30" s="194"/>
      <c r="C30" s="272" t="s">
        <v>620</v>
      </c>
      <c r="D30" s="209">
        <f>'[1]Таблица 6'!D21</f>
        <v>718682.8</v>
      </c>
      <c r="E30" s="209">
        <f>'[1]Таблица 6'!E21</f>
        <v>936491.7</v>
      </c>
      <c r="F30" s="209">
        <f>'[1]Таблица 6'!F21</f>
        <v>973091.1</v>
      </c>
      <c r="G30" s="209">
        <f>'[1]Таблица 6'!G21</f>
        <v>982139.3</v>
      </c>
    </row>
    <row r="31" spans="1:7" ht="12.75">
      <c r="A31" s="191"/>
      <c r="B31" s="194"/>
      <c r="C31" s="273" t="s">
        <v>700</v>
      </c>
      <c r="D31" s="209">
        <f>'[1]Таблица 6'!D21</f>
        <v>718682.8</v>
      </c>
      <c r="E31" s="209">
        <f>'[1]Таблица 6'!E21</f>
        <v>936491.7</v>
      </c>
      <c r="F31" s="209">
        <f>'[1]Таблица 6'!F21</f>
        <v>973091.1</v>
      </c>
      <c r="G31" s="209">
        <f>'[1]Таблица 6'!G21</f>
        <v>982139.3</v>
      </c>
    </row>
    <row r="32" spans="1:7" ht="12.75">
      <c r="A32" s="191"/>
      <c r="B32" s="194"/>
      <c r="C32" s="272" t="s">
        <v>627</v>
      </c>
      <c r="D32" s="209"/>
      <c r="E32" s="209"/>
      <c r="F32" s="209"/>
      <c r="G32" s="209"/>
    </row>
    <row r="33" spans="1:7" ht="12.75">
      <c r="A33" s="191"/>
      <c r="B33" s="194"/>
      <c r="C33" s="272" t="s">
        <v>701</v>
      </c>
      <c r="D33" s="209"/>
      <c r="E33" s="209"/>
      <c r="F33" s="209"/>
      <c r="G33" s="209"/>
    </row>
    <row r="34" spans="1:7" ht="12.75">
      <c r="A34" s="191"/>
      <c r="B34" s="194"/>
      <c r="C34" s="272" t="s">
        <v>625</v>
      </c>
      <c r="D34" s="209"/>
      <c r="E34" s="209"/>
      <c r="F34" s="209"/>
      <c r="G34" s="209"/>
    </row>
    <row r="35" spans="1:7" ht="12.75">
      <c r="A35" s="191"/>
      <c r="B35" s="194"/>
      <c r="C35" s="272" t="s">
        <v>626</v>
      </c>
      <c r="D35" s="209"/>
      <c r="E35" s="209"/>
      <c r="F35" s="209"/>
      <c r="G35" s="209"/>
    </row>
    <row r="36" spans="1:7" ht="12.75" customHeight="1">
      <c r="A36" s="191" t="s">
        <v>703</v>
      </c>
      <c r="B36" s="195" t="s">
        <v>584</v>
      </c>
      <c r="C36" s="272" t="s">
        <v>619</v>
      </c>
      <c r="D36" s="209">
        <f>D37+D39+D40+D41</f>
        <v>175244.2</v>
      </c>
      <c r="E36" s="209">
        <f>E37+E39+E40+E41</f>
        <v>189669.2</v>
      </c>
      <c r="F36" s="209">
        <f>F37+F39+F40+F41</f>
        <v>189669.2</v>
      </c>
      <c r="G36" s="209">
        <f>G37+G39+G40+G41</f>
        <v>189669.2</v>
      </c>
    </row>
    <row r="37" spans="1:7" ht="12.75">
      <c r="A37" s="191"/>
      <c r="B37" s="195"/>
      <c r="C37" s="272" t="s">
        <v>620</v>
      </c>
      <c r="D37" s="209">
        <f>'[1]Таблица 6'!D22</f>
        <v>175244.2</v>
      </c>
      <c r="E37" s="209">
        <f>'[1]Таблица 6'!E22</f>
        <v>189669.2</v>
      </c>
      <c r="F37" s="209">
        <f>'[1]Таблица 6'!F22</f>
        <v>189669.2</v>
      </c>
      <c r="G37" s="209">
        <f>'[1]Таблица 6'!G22</f>
        <v>189669.2</v>
      </c>
    </row>
    <row r="38" spans="1:7" ht="12.75">
      <c r="A38" s="191"/>
      <c r="B38" s="195"/>
      <c r="C38" s="273" t="s">
        <v>700</v>
      </c>
      <c r="D38" s="209"/>
      <c r="E38" s="209"/>
      <c r="F38" s="209"/>
      <c r="G38" s="209"/>
    </row>
    <row r="39" spans="1:7" ht="12.75">
      <c r="A39" s="191"/>
      <c r="B39" s="195"/>
      <c r="C39" s="272" t="s">
        <v>627</v>
      </c>
      <c r="D39" s="209"/>
      <c r="E39" s="209"/>
      <c r="F39" s="209"/>
      <c r="G39" s="209"/>
    </row>
    <row r="40" spans="1:7" ht="12.75">
      <c r="A40" s="191"/>
      <c r="B40" s="195"/>
      <c r="C40" s="272" t="s">
        <v>701</v>
      </c>
      <c r="D40" s="209"/>
      <c r="E40" s="209"/>
      <c r="F40" s="209"/>
      <c r="G40" s="209"/>
    </row>
    <row r="41" spans="1:7" ht="12.75">
      <c r="A41" s="191"/>
      <c r="B41" s="195"/>
      <c r="C41" s="272" t="s">
        <v>625</v>
      </c>
      <c r="D41" s="209"/>
      <c r="E41" s="209"/>
      <c r="F41" s="209"/>
      <c r="G41" s="209"/>
    </row>
    <row r="42" spans="1:7" ht="12.75">
      <c r="A42" s="191"/>
      <c r="B42" s="195"/>
      <c r="C42" s="272" t="s">
        <v>626</v>
      </c>
      <c r="D42" s="209"/>
      <c r="E42" s="209"/>
      <c r="F42" s="209"/>
      <c r="G42" s="209"/>
    </row>
    <row r="43" spans="1:7" ht="12.75" customHeight="1">
      <c r="A43" s="191" t="s">
        <v>704</v>
      </c>
      <c r="B43" s="195" t="s">
        <v>585</v>
      </c>
      <c r="C43" s="272" t="s">
        <v>619</v>
      </c>
      <c r="D43" s="209">
        <f>D44+D46+D47+D48</f>
        <v>177034.96</v>
      </c>
      <c r="E43" s="209">
        <f>E44+E46+E47+E48</f>
        <v>185589.4</v>
      </c>
      <c r="F43" s="209">
        <f>F44+F46+F47+F48</f>
        <v>185659.9</v>
      </c>
      <c r="G43" s="209">
        <f>G44+G46+G47+G48</f>
        <v>185731.4</v>
      </c>
    </row>
    <row r="44" spans="1:7" ht="12.75">
      <c r="A44" s="191"/>
      <c r="B44" s="195"/>
      <c r="C44" s="272" t="s">
        <v>620</v>
      </c>
      <c r="D44" s="209">
        <f>'[1]Таблица 6'!D23</f>
        <v>177034.96</v>
      </c>
      <c r="E44" s="209">
        <f>'[1]Таблица 6'!E23</f>
        <v>185589.4</v>
      </c>
      <c r="F44" s="209">
        <f>'[1]Таблица 6'!F23</f>
        <v>185659.9</v>
      </c>
      <c r="G44" s="209">
        <f>'[1]Таблица 6'!G23</f>
        <v>185731.4</v>
      </c>
    </row>
    <row r="45" spans="1:7" ht="12.75">
      <c r="A45" s="191"/>
      <c r="B45" s="195"/>
      <c r="C45" s="273" t="s">
        <v>700</v>
      </c>
      <c r="D45" s="209"/>
      <c r="E45" s="209"/>
      <c r="F45" s="209"/>
      <c r="G45" s="209"/>
    </row>
    <row r="46" spans="1:7" ht="12.75">
      <c r="A46" s="191"/>
      <c r="B46" s="195"/>
      <c r="C46" s="272" t="s">
        <v>627</v>
      </c>
      <c r="D46" s="209"/>
      <c r="E46" s="209"/>
      <c r="F46" s="209"/>
      <c r="G46" s="209"/>
    </row>
    <row r="47" spans="1:7" ht="12.75">
      <c r="A47" s="191"/>
      <c r="B47" s="195"/>
      <c r="C47" s="272" t="s">
        <v>701</v>
      </c>
      <c r="D47" s="209"/>
      <c r="E47" s="209"/>
      <c r="F47" s="209"/>
      <c r="G47" s="209"/>
    </row>
    <row r="48" spans="1:7" ht="12.75">
      <c r="A48" s="191"/>
      <c r="B48" s="195"/>
      <c r="C48" s="272" t="s">
        <v>625</v>
      </c>
      <c r="D48" s="209"/>
      <c r="E48" s="209"/>
      <c r="F48" s="209"/>
      <c r="G48" s="209"/>
    </row>
    <row r="49" spans="1:7" ht="12.75">
      <c r="A49" s="191"/>
      <c r="B49" s="195"/>
      <c r="C49" s="272" t="s">
        <v>626</v>
      </c>
      <c r="D49" s="209"/>
      <c r="E49" s="209"/>
      <c r="F49" s="209"/>
      <c r="G49" s="209"/>
    </row>
    <row r="50" spans="1:7" ht="12.75" customHeight="1">
      <c r="A50" s="191" t="s">
        <v>705</v>
      </c>
      <c r="B50" s="88" t="s">
        <v>452</v>
      </c>
      <c r="C50" s="272" t="s">
        <v>619</v>
      </c>
      <c r="D50" s="209">
        <f>D51+D53+D54+D55</f>
        <v>9134.024</v>
      </c>
      <c r="E50" s="209">
        <f>E51+E53+E54+E55</f>
        <v>9215</v>
      </c>
      <c r="F50" s="209">
        <f>F51+F53+F54+F55</f>
        <v>9215</v>
      </c>
      <c r="G50" s="209">
        <f>G51+G53+G54+G55</f>
        <v>9215</v>
      </c>
    </row>
    <row r="51" spans="1:7" ht="12.75">
      <c r="A51" s="191"/>
      <c r="B51" s="88"/>
      <c r="C51" s="272" t="s">
        <v>620</v>
      </c>
      <c r="D51" s="209">
        <f>'[1]Таблица 6'!D24</f>
        <v>9134.024</v>
      </c>
      <c r="E51" s="209">
        <f>'[1]Таблица 6'!E24</f>
        <v>9215</v>
      </c>
      <c r="F51" s="209">
        <f>'[1]Таблица 6'!F24</f>
        <v>9215</v>
      </c>
      <c r="G51" s="209">
        <f>'[1]Таблица 6'!G24</f>
        <v>9215</v>
      </c>
    </row>
    <row r="52" spans="1:7" ht="12.75">
      <c r="A52" s="191"/>
      <c r="B52" s="88"/>
      <c r="C52" s="273" t="s">
        <v>700</v>
      </c>
      <c r="D52" s="209"/>
      <c r="E52" s="209"/>
      <c r="F52" s="209"/>
      <c r="G52" s="209"/>
    </row>
    <row r="53" spans="1:7" ht="12.75">
      <c r="A53" s="191"/>
      <c r="B53" s="88"/>
      <c r="C53" s="272" t="s">
        <v>627</v>
      </c>
      <c r="D53" s="209"/>
      <c r="E53" s="209"/>
      <c r="F53" s="209"/>
      <c r="G53" s="209"/>
    </row>
    <row r="54" spans="1:7" ht="12.75">
      <c r="A54" s="191"/>
      <c r="B54" s="88"/>
      <c r="C54" s="272" t="s">
        <v>701</v>
      </c>
      <c r="D54" s="209"/>
      <c r="E54" s="209"/>
      <c r="F54" s="209"/>
      <c r="G54" s="209"/>
    </row>
    <row r="55" spans="1:7" ht="12.75">
      <c r="A55" s="191"/>
      <c r="B55" s="88"/>
      <c r="C55" s="272" t="s">
        <v>625</v>
      </c>
      <c r="D55" s="209"/>
      <c r="E55" s="209"/>
      <c r="F55" s="209"/>
      <c r="G55" s="209"/>
    </row>
    <row r="56" spans="1:7" ht="12.75">
      <c r="A56" s="191"/>
      <c r="B56" s="88"/>
      <c r="C56" s="272" t="s">
        <v>626</v>
      </c>
      <c r="D56" s="209"/>
      <c r="E56" s="209"/>
      <c r="F56" s="209"/>
      <c r="G56" s="209"/>
    </row>
    <row r="57" spans="1:7" ht="12.75" customHeight="1">
      <c r="A57" s="191" t="s">
        <v>706</v>
      </c>
      <c r="B57" s="88" t="s">
        <v>634</v>
      </c>
      <c r="C57" s="272" t="s">
        <v>619</v>
      </c>
      <c r="D57" s="209">
        <f>D58+D60+D61+D62</f>
        <v>49365.3</v>
      </c>
      <c r="E57" s="209">
        <f>E58+E60+E61+E62</f>
        <v>50663.1</v>
      </c>
      <c r="F57" s="209">
        <f>F58+F60+F61+F62</f>
        <v>53680.7</v>
      </c>
      <c r="G57" s="209">
        <f>G58+G60+G61+G62</f>
        <v>56623.8</v>
      </c>
    </row>
    <row r="58" spans="1:7" ht="12.75">
      <c r="A58" s="191"/>
      <c r="B58" s="88"/>
      <c r="C58" s="272" t="s">
        <v>620</v>
      </c>
      <c r="D58" s="209">
        <f>'[1]Таблица 6'!D25</f>
        <v>49365.3</v>
      </c>
      <c r="E58" s="209">
        <f>'[1]Таблица 6'!E25</f>
        <v>50663.1</v>
      </c>
      <c r="F58" s="209">
        <f>'[1]Таблица 6'!F25</f>
        <v>53680.7</v>
      </c>
      <c r="G58" s="209">
        <f>'[1]Таблица 6'!G25</f>
        <v>56623.8</v>
      </c>
    </row>
    <row r="59" spans="1:7" ht="12.75">
      <c r="A59" s="191"/>
      <c r="B59" s="88"/>
      <c r="C59" s="273" t="s">
        <v>700</v>
      </c>
      <c r="D59" s="209"/>
      <c r="E59" s="209"/>
      <c r="F59" s="209"/>
      <c r="G59" s="209"/>
    </row>
    <row r="60" spans="1:7" ht="12.75">
      <c r="A60" s="191"/>
      <c r="B60" s="88"/>
      <c r="C60" s="272" t="s">
        <v>627</v>
      </c>
      <c r="D60" s="209"/>
      <c r="E60" s="209"/>
      <c r="F60" s="209"/>
      <c r="G60" s="209"/>
    </row>
    <row r="61" spans="1:7" ht="12.75">
      <c r="A61" s="191"/>
      <c r="B61" s="88"/>
      <c r="C61" s="272" t="s">
        <v>701</v>
      </c>
      <c r="D61" s="209"/>
      <c r="E61" s="209"/>
      <c r="F61" s="209"/>
      <c r="G61" s="209"/>
    </row>
    <row r="62" spans="1:7" ht="12.75">
      <c r="A62" s="191"/>
      <c r="B62" s="88"/>
      <c r="C62" s="272" t="s">
        <v>625</v>
      </c>
      <c r="D62" s="209"/>
      <c r="E62" s="209"/>
      <c r="F62" s="209"/>
      <c r="G62" s="209"/>
    </row>
    <row r="63" spans="1:7" ht="12.75">
      <c r="A63" s="191"/>
      <c r="B63" s="88"/>
      <c r="C63" s="272" t="s">
        <v>626</v>
      </c>
      <c r="D63" s="209"/>
      <c r="E63" s="209"/>
      <c r="F63" s="209"/>
      <c r="G63" s="209"/>
    </row>
    <row r="64" spans="1:7" ht="12.75" customHeight="1">
      <c r="A64" s="191" t="s">
        <v>707</v>
      </c>
      <c r="B64" s="88" t="s">
        <v>456</v>
      </c>
      <c r="C64" s="272" t="s">
        <v>619</v>
      </c>
      <c r="D64" s="209">
        <f>D65+D67+D68+D69</f>
        <v>87700</v>
      </c>
      <c r="E64" s="209">
        <f>E65+E67+E68+E69</f>
        <v>80500</v>
      </c>
      <c r="F64" s="209">
        <f>F65+F67+F68+F69</f>
        <v>80500</v>
      </c>
      <c r="G64" s="209">
        <f>G65+G67+G68+G69</f>
        <v>80500</v>
      </c>
    </row>
    <row r="65" spans="1:7" ht="12.75">
      <c r="A65" s="191"/>
      <c r="B65" s="88"/>
      <c r="C65" s="272" t="s">
        <v>620</v>
      </c>
      <c r="D65" s="209">
        <f>'[1]Таблица 6'!D26</f>
        <v>87700</v>
      </c>
      <c r="E65" s="209">
        <f>'[1]Таблица 6'!E26</f>
        <v>80500</v>
      </c>
      <c r="F65" s="209">
        <f>'[1]Таблица 6'!F26</f>
        <v>80500</v>
      </c>
      <c r="G65" s="209">
        <f>'[1]Таблица 6'!G26</f>
        <v>80500</v>
      </c>
    </row>
    <row r="66" spans="1:7" ht="12.75">
      <c r="A66" s="191"/>
      <c r="B66" s="88"/>
      <c r="C66" s="273" t="s">
        <v>700</v>
      </c>
      <c r="D66" s="209"/>
      <c r="E66" s="209"/>
      <c r="F66" s="209"/>
      <c r="G66" s="209"/>
    </row>
    <row r="67" spans="1:7" ht="12.75">
      <c r="A67" s="191"/>
      <c r="B67" s="88"/>
      <c r="C67" s="272" t="s">
        <v>627</v>
      </c>
      <c r="D67" s="209"/>
      <c r="E67" s="209"/>
      <c r="F67" s="209"/>
      <c r="G67" s="209"/>
    </row>
    <row r="68" spans="1:7" ht="12.75">
      <c r="A68" s="191"/>
      <c r="B68" s="88"/>
      <c r="C68" s="272" t="s">
        <v>701</v>
      </c>
      <c r="D68" s="209"/>
      <c r="E68" s="209"/>
      <c r="F68" s="209"/>
      <c r="G68" s="209"/>
    </row>
    <row r="69" spans="1:7" ht="12.75">
      <c r="A69" s="191"/>
      <c r="B69" s="88"/>
      <c r="C69" s="272" t="s">
        <v>625</v>
      </c>
      <c r="D69" s="209"/>
      <c r="E69" s="209"/>
      <c r="F69" s="209"/>
      <c r="G69" s="209"/>
    </row>
    <row r="70" spans="1:7" ht="12.75">
      <c r="A70" s="191"/>
      <c r="B70" s="88"/>
      <c r="C70" s="272" t="s">
        <v>626</v>
      </c>
      <c r="D70" s="209"/>
      <c r="E70" s="209"/>
      <c r="F70" s="209"/>
      <c r="G70" s="209"/>
    </row>
    <row r="71" spans="1:7" ht="12.75" customHeight="1">
      <c r="A71" s="191" t="s">
        <v>708</v>
      </c>
      <c r="B71" s="88" t="s">
        <v>458</v>
      </c>
      <c r="C71" s="272" t="s">
        <v>619</v>
      </c>
      <c r="D71" s="209">
        <f>D72+D74+D75+D76</f>
        <v>11916.6</v>
      </c>
      <c r="E71" s="209">
        <f>E72+E74+E75+E76</f>
        <v>11853</v>
      </c>
      <c r="F71" s="209">
        <f>F72+F74+F75+F76</f>
        <v>11853</v>
      </c>
      <c r="G71" s="209">
        <f>G72+G74+G75+G76</f>
        <v>11853</v>
      </c>
    </row>
    <row r="72" spans="1:7" ht="12.75">
      <c r="A72" s="191"/>
      <c r="B72" s="88"/>
      <c r="C72" s="272" t="s">
        <v>620</v>
      </c>
      <c r="D72" s="209">
        <f>'[1]Таблица 6'!D27</f>
        <v>11916.6</v>
      </c>
      <c r="E72" s="209">
        <f>'[1]Таблица 6'!E27</f>
        <v>11853</v>
      </c>
      <c r="F72" s="209">
        <f>'[1]Таблица 6'!F27</f>
        <v>11853</v>
      </c>
      <c r="G72" s="209">
        <f>'[1]Таблица 6'!G27</f>
        <v>11853</v>
      </c>
    </row>
    <row r="73" spans="1:7" ht="12.75">
      <c r="A73" s="191"/>
      <c r="B73" s="88"/>
      <c r="C73" s="273" t="s">
        <v>700</v>
      </c>
      <c r="D73" s="209"/>
      <c r="E73" s="209"/>
      <c r="F73" s="209"/>
      <c r="G73" s="209"/>
    </row>
    <row r="74" spans="1:7" ht="12.75">
      <c r="A74" s="191"/>
      <c r="B74" s="88"/>
      <c r="C74" s="272" t="s">
        <v>627</v>
      </c>
      <c r="D74" s="209"/>
      <c r="E74" s="209"/>
      <c r="F74" s="209"/>
      <c r="G74" s="209"/>
    </row>
    <row r="75" spans="1:7" ht="12.75">
      <c r="A75" s="191"/>
      <c r="B75" s="88"/>
      <c r="C75" s="272" t="s">
        <v>701</v>
      </c>
      <c r="D75" s="209"/>
      <c r="E75" s="209"/>
      <c r="F75" s="209"/>
      <c r="G75" s="209"/>
    </row>
    <row r="76" spans="1:7" ht="12.75">
      <c r="A76" s="191"/>
      <c r="B76" s="88"/>
      <c r="C76" s="272" t="s">
        <v>625</v>
      </c>
      <c r="D76" s="209"/>
      <c r="E76" s="209"/>
      <c r="F76" s="209"/>
      <c r="G76" s="209"/>
    </row>
    <row r="77" spans="1:7" ht="12.75">
      <c r="A77" s="191"/>
      <c r="B77" s="88"/>
      <c r="C77" s="272" t="s">
        <v>626</v>
      </c>
      <c r="D77" s="209"/>
      <c r="E77" s="209"/>
      <c r="F77" s="209"/>
      <c r="G77" s="209"/>
    </row>
    <row r="78" spans="1:7" ht="12.75" customHeight="1">
      <c r="A78" s="191" t="s">
        <v>709</v>
      </c>
      <c r="B78" s="88" t="s">
        <v>460</v>
      </c>
      <c r="C78" s="272" t="s">
        <v>619</v>
      </c>
      <c r="D78" s="209">
        <f>D79+D81+D82+D83</f>
        <v>5240.7</v>
      </c>
      <c r="E78" s="209">
        <f>E79+E81+E82+E83</f>
        <v>5275.7</v>
      </c>
      <c r="F78" s="209">
        <f>F79+F81+F82+F83</f>
        <v>5275.7</v>
      </c>
      <c r="G78" s="209">
        <f>G79+G81+G82+G83</f>
        <v>5275.7</v>
      </c>
    </row>
    <row r="79" spans="1:7" ht="12.75">
      <c r="A79" s="191"/>
      <c r="B79" s="88"/>
      <c r="C79" s="272" t="s">
        <v>620</v>
      </c>
      <c r="D79" s="209">
        <f>'[1]Таблица 6'!D28</f>
        <v>5240.7</v>
      </c>
      <c r="E79" s="209">
        <f>'[1]Таблица 6'!E28</f>
        <v>5275.7</v>
      </c>
      <c r="F79" s="209">
        <f>'[1]Таблица 6'!F28</f>
        <v>5275.7</v>
      </c>
      <c r="G79" s="209">
        <f>'[1]Таблица 6'!G28</f>
        <v>5275.7</v>
      </c>
    </row>
    <row r="80" spans="1:7" ht="12.75">
      <c r="A80" s="191"/>
      <c r="B80" s="88"/>
      <c r="C80" s="273" t="s">
        <v>700</v>
      </c>
      <c r="D80" s="209"/>
      <c r="E80" s="209"/>
      <c r="F80" s="209"/>
      <c r="G80" s="209"/>
    </row>
    <row r="81" spans="1:7" ht="12.75">
      <c r="A81" s="191"/>
      <c r="B81" s="88"/>
      <c r="C81" s="272" t="s">
        <v>627</v>
      </c>
      <c r="D81" s="209"/>
      <c r="E81" s="209"/>
      <c r="F81" s="209"/>
      <c r="G81" s="209"/>
    </row>
    <row r="82" spans="1:7" ht="12.75">
      <c r="A82" s="191"/>
      <c r="B82" s="88"/>
      <c r="C82" s="272" t="s">
        <v>701</v>
      </c>
      <c r="D82" s="209"/>
      <c r="E82" s="209"/>
      <c r="F82" s="209"/>
      <c r="G82" s="209"/>
    </row>
    <row r="83" spans="1:7" ht="12.75">
      <c r="A83" s="191"/>
      <c r="B83" s="88"/>
      <c r="C83" s="272" t="s">
        <v>625</v>
      </c>
      <c r="D83" s="209"/>
      <c r="E83" s="209"/>
      <c r="F83" s="209"/>
      <c r="G83" s="209"/>
    </row>
    <row r="84" spans="1:7" ht="12.75">
      <c r="A84" s="191"/>
      <c r="B84" s="88"/>
      <c r="C84" s="272" t="s">
        <v>626</v>
      </c>
      <c r="D84" s="209"/>
      <c r="E84" s="209"/>
      <c r="F84" s="209"/>
      <c r="G84" s="209"/>
    </row>
    <row r="85" spans="1:7" ht="12.75" customHeight="1">
      <c r="A85" s="191" t="s">
        <v>710</v>
      </c>
      <c r="B85" s="88" t="s">
        <v>462</v>
      </c>
      <c r="C85" s="272" t="s">
        <v>619</v>
      </c>
      <c r="D85" s="209">
        <f>D86+D88+D89+D90</f>
        <v>501.2</v>
      </c>
      <c r="E85" s="209">
        <f>E86+E88+E89+E90</f>
        <v>501.2</v>
      </c>
      <c r="F85" s="209">
        <f>F86+F88+F89+F90</f>
        <v>501.2</v>
      </c>
      <c r="G85" s="209">
        <f>G86+G88+G89+G90</f>
        <v>501.2</v>
      </c>
    </row>
    <row r="86" spans="1:7" ht="12.75">
      <c r="A86" s="191"/>
      <c r="B86" s="88"/>
      <c r="C86" s="272" t="s">
        <v>620</v>
      </c>
      <c r="D86" s="209">
        <f>'[1]Таблица 6'!D29</f>
        <v>501.2</v>
      </c>
      <c r="E86" s="209">
        <f>'[1]Таблица 6'!E29</f>
        <v>501.2</v>
      </c>
      <c r="F86" s="209">
        <f>'[1]Таблица 6'!F29</f>
        <v>501.2</v>
      </c>
      <c r="G86" s="209">
        <f>'[1]Таблица 6'!G29</f>
        <v>501.2</v>
      </c>
    </row>
    <row r="87" spans="1:7" ht="12.75">
      <c r="A87" s="191"/>
      <c r="B87" s="88"/>
      <c r="C87" s="273" t="s">
        <v>700</v>
      </c>
      <c r="D87" s="209"/>
      <c r="E87" s="209"/>
      <c r="F87" s="209"/>
      <c r="G87" s="209"/>
    </row>
    <row r="88" spans="1:7" ht="12.75">
      <c r="A88" s="191"/>
      <c r="B88" s="88"/>
      <c r="C88" s="272" t="s">
        <v>627</v>
      </c>
      <c r="D88" s="209"/>
      <c r="E88" s="209"/>
      <c r="F88" s="209"/>
      <c r="G88" s="209"/>
    </row>
    <row r="89" spans="1:7" ht="12.75">
      <c r="A89" s="191"/>
      <c r="B89" s="88"/>
      <c r="C89" s="272" t="s">
        <v>701</v>
      </c>
      <c r="D89" s="209"/>
      <c r="E89" s="209"/>
      <c r="F89" s="209"/>
      <c r="G89" s="209"/>
    </row>
    <row r="90" spans="1:7" ht="12.75">
      <c r="A90" s="191"/>
      <c r="B90" s="88"/>
      <c r="C90" s="272" t="s">
        <v>625</v>
      </c>
      <c r="D90" s="209"/>
      <c r="E90" s="209"/>
      <c r="F90" s="209"/>
      <c r="G90" s="209"/>
    </row>
    <row r="91" spans="1:7" ht="12.75">
      <c r="A91" s="191"/>
      <c r="B91" s="88"/>
      <c r="C91" s="272" t="s">
        <v>626</v>
      </c>
      <c r="D91" s="209"/>
      <c r="E91" s="209"/>
      <c r="F91" s="209"/>
      <c r="G91" s="209"/>
    </row>
    <row r="92" spans="1:7" ht="12.75" customHeight="1">
      <c r="A92" s="191" t="s">
        <v>711</v>
      </c>
      <c r="B92" s="88" t="s">
        <v>464</v>
      </c>
      <c r="C92" s="272" t="s">
        <v>619</v>
      </c>
      <c r="D92" s="209">
        <f>D93+D95+D96+D97</f>
        <v>20</v>
      </c>
      <c r="E92" s="209">
        <f>E93+E95+E96+E97</f>
        <v>20</v>
      </c>
      <c r="F92" s="209">
        <f>F93+F95+F96+F97</f>
        <v>20</v>
      </c>
      <c r="G92" s="209">
        <f>G93+G95+G96+G97</f>
        <v>20</v>
      </c>
    </row>
    <row r="93" spans="1:7" ht="12.75">
      <c r="A93" s="191"/>
      <c r="B93" s="88"/>
      <c r="C93" s="272" t="s">
        <v>620</v>
      </c>
      <c r="D93" s="209">
        <f>'[1]Таблица 6'!D30</f>
        <v>20</v>
      </c>
      <c r="E93" s="209">
        <f>'[1]Таблица 6'!E30</f>
        <v>20</v>
      </c>
      <c r="F93" s="209">
        <f>'[1]Таблица 6'!F30</f>
        <v>20</v>
      </c>
      <c r="G93" s="209">
        <f>'[1]Таблица 6'!G30</f>
        <v>20</v>
      </c>
    </row>
    <row r="94" spans="1:7" ht="12.75">
      <c r="A94" s="191"/>
      <c r="B94" s="88"/>
      <c r="C94" s="273" t="s">
        <v>700</v>
      </c>
      <c r="D94" s="209"/>
      <c r="E94" s="209"/>
      <c r="F94" s="209"/>
      <c r="G94" s="209"/>
    </row>
    <row r="95" spans="1:7" ht="12.75">
      <c r="A95" s="191"/>
      <c r="B95" s="88"/>
      <c r="C95" s="272" t="s">
        <v>627</v>
      </c>
      <c r="D95" s="209"/>
      <c r="E95" s="209"/>
      <c r="F95" s="209"/>
      <c r="G95" s="209"/>
    </row>
    <row r="96" spans="1:7" ht="12.75">
      <c r="A96" s="191"/>
      <c r="B96" s="88"/>
      <c r="C96" s="272" t="s">
        <v>701</v>
      </c>
      <c r="D96" s="209"/>
      <c r="E96" s="209"/>
      <c r="F96" s="209"/>
      <c r="G96" s="209"/>
    </row>
    <row r="97" spans="1:7" ht="12.75">
      <c r="A97" s="191"/>
      <c r="B97" s="88"/>
      <c r="C97" s="272" t="s">
        <v>625</v>
      </c>
      <c r="D97" s="209"/>
      <c r="E97" s="209"/>
      <c r="F97" s="209"/>
      <c r="G97" s="209"/>
    </row>
    <row r="98" spans="1:7" ht="12.75">
      <c r="A98" s="191"/>
      <c r="B98" s="88"/>
      <c r="C98" s="272" t="s">
        <v>626</v>
      </c>
      <c r="D98" s="209"/>
      <c r="E98" s="209"/>
      <c r="F98" s="209"/>
      <c r="G98" s="209"/>
    </row>
    <row r="99" spans="1:7" ht="12.75" customHeight="1">
      <c r="A99" s="191" t="s">
        <v>712</v>
      </c>
      <c r="B99" s="196" t="s">
        <v>466</v>
      </c>
      <c r="C99" s="272" t="s">
        <v>619</v>
      </c>
      <c r="D99" s="209">
        <f>D100+D102+D103+D104</f>
        <v>9407.9</v>
      </c>
      <c r="E99" s="209">
        <f>E100+E102+E103+E104</f>
        <v>9275</v>
      </c>
      <c r="F99" s="209">
        <f>F100+F102+F103+F104</f>
        <v>9275</v>
      </c>
      <c r="G99" s="209">
        <f>G100+G102+G103+G104</f>
        <v>9275</v>
      </c>
    </row>
    <row r="100" spans="1:7" ht="12.75">
      <c r="A100" s="191"/>
      <c r="B100" s="196"/>
      <c r="C100" s="272" t="s">
        <v>620</v>
      </c>
      <c r="D100" s="209">
        <f>'[1]Таблица 6'!D31</f>
        <v>9407.9</v>
      </c>
      <c r="E100" s="209">
        <f>'[1]Таблица 6'!E31</f>
        <v>9275</v>
      </c>
      <c r="F100" s="209">
        <f>'[1]Таблица 6'!F31</f>
        <v>9275</v>
      </c>
      <c r="G100" s="209">
        <f>'[1]Таблица 6'!G31</f>
        <v>9275</v>
      </c>
    </row>
    <row r="101" spans="1:7" ht="12.75">
      <c r="A101" s="191"/>
      <c r="B101" s="196"/>
      <c r="C101" s="273" t="s">
        <v>700</v>
      </c>
      <c r="D101" s="209"/>
      <c r="E101" s="209"/>
      <c r="F101" s="209"/>
      <c r="G101" s="209"/>
    </row>
    <row r="102" spans="1:7" ht="12.75">
      <c r="A102" s="191"/>
      <c r="B102" s="196"/>
      <c r="C102" s="272" t="s">
        <v>627</v>
      </c>
      <c r="D102" s="209"/>
      <c r="E102" s="209"/>
      <c r="F102" s="209"/>
      <c r="G102" s="209"/>
    </row>
    <row r="103" spans="1:7" ht="12.75">
      <c r="A103" s="191"/>
      <c r="B103" s="196"/>
      <c r="C103" s="272" t="s">
        <v>701</v>
      </c>
      <c r="D103" s="209"/>
      <c r="E103" s="209"/>
      <c r="F103" s="209"/>
      <c r="G103" s="209"/>
    </row>
    <row r="104" spans="1:7" ht="12.75">
      <c r="A104" s="191"/>
      <c r="B104" s="196"/>
      <c r="C104" s="272" t="s">
        <v>625</v>
      </c>
      <c r="D104" s="209"/>
      <c r="E104" s="209"/>
      <c r="F104" s="209"/>
      <c r="G104" s="209"/>
    </row>
    <row r="105" spans="1:7" ht="12.75">
      <c r="A105" s="191"/>
      <c r="B105" s="196"/>
      <c r="C105" s="272" t="s">
        <v>626</v>
      </c>
      <c r="D105" s="209"/>
      <c r="E105" s="209"/>
      <c r="F105" s="209"/>
      <c r="G105" s="209"/>
    </row>
    <row r="106" spans="1:7" ht="12.75" customHeight="1">
      <c r="A106" s="191" t="s">
        <v>713</v>
      </c>
      <c r="B106" s="195" t="s">
        <v>468</v>
      </c>
      <c r="C106" s="272" t="s">
        <v>619</v>
      </c>
      <c r="D106" s="209">
        <f>D107+D109+D110+D111</f>
        <v>1989.4</v>
      </c>
      <c r="E106" s="209">
        <f>E107+E109+E110+E111</f>
        <v>1989.4</v>
      </c>
      <c r="F106" s="209">
        <f>F107+F109+F110+F111</f>
        <v>1989.4</v>
      </c>
      <c r="G106" s="209">
        <f>G107+G109+G110+G111</f>
        <v>1989.4</v>
      </c>
    </row>
    <row r="107" spans="1:7" ht="12.75">
      <c r="A107" s="191"/>
      <c r="B107" s="195"/>
      <c r="C107" s="272" t="s">
        <v>620</v>
      </c>
      <c r="D107" s="209">
        <f>'[1]Таблица 6'!D32</f>
        <v>1989.4</v>
      </c>
      <c r="E107" s="209">
        <f>'[1]Таблица 6'!E32</f>
        <v>1989.4</v>
      </c>
      <c r="F107" s="209">
        <f>'[1]Таблица 6'!F32</f>
        <v>1989.4</v>
      </c>
      <c r="G107" s="209">
        <f>'[1]Таблица 6'!G32</f>
        <v>1989.4</v>
      </c>
    </row>
    <row r="108" spans="1:7" ht="12.75">
      <c r="A108" s="191"/>
      <c r="B108" s="195"/>
      <c r="C108" s="273" t="s">
        <v>700</v>
      </c>
      <c r="D108" s="209"/>
      <c r="E108" s="209"/>
      <c r="F108" s="209"/>
      <c r="G108" s="209"/>
    </row>
    <row r="109" spans="1:7" ht="12.75">
      <c r="A109" s="191"/>
      <c r="B109" s="195"/>
      <c r="C109" s="272" t="s">
        <v>627</v>
      </c>
      <c r="D109" s="209"/>
      <c r="E109" s="209"/>
      <c r="F109" s="209"/>
      <c r="G109" s="209"/>
    </row>
    <row r="110" spans="1:7" ht="12.75">
      <c r="A110" s="191"/>
      <c r="B110" s="195"/>
      <c r="C110" s="272" t="s">
        <v>701</v>
      </c>
      <c r="D110" s="209"/>
      <c r="E110" s="209"/>
      <c r="F110" s="209"/>
      <c r="G110" s="209"/>
    </row>
    <row r="111" spans="1:7" ht="12.75">
      <c r="A111" s="191"/>
      <c r="B111" s="195"/>
      <c r="C111" s="272" t="s">
        <v>625</v>
      </c>
      <c r="D111" s="209"/>
      <c r="E111" s="209"/>
      <c r="F111" s="209"/>
      <c r="G111" s="209"/>
    </row>
    <row r="112" spans="1:7" ht="12.75">
      <c r="A112" s="191"/>
      <c r="B112" s="195"/>
      <c r="C112" s="272" t="s">
        <v>626</v>
      </c>
      <c r="D112" s="209"/>
      <c r="E112" s="209"/>
      <c r="F112" s="209"/>
      <c r="G112" s="209"/>
    </row>
    <row r="113" spans="1:7" ht="12.75" customHeight="1">
      <c r="A113" s="191" t="s">
        <v>714</v>
      </c>
      <c r="B113" s="105" t="s">
        <v>470</v>
      </c>
      <c r="C113" s="272" t="s">
        <v>619</v>
      </c>
      <c r="D113" s="209">
        <f>D114+D116+D117+D118</f>
        <v>170</v>
      </c>
      <c r="E113" s="209">
        <f>E114+E116+E117+E118</f>
        <v>290</v>
      </c>
      <c r="F113" s="209">
        <f>F114+F116+F117+F118</f>
        <v>290</v>
      </c>
      <c r="G113" s="209">
        <f>G114+G116+G117+G118</f>
        <v>290</v>
      </c>
    </row>
    <row r="114" spans="1:7" ht="12.75">
      <c r="A114" s="191"/>
      <c r="B114" s="105"/>
      <c r="C114" s="272" t="s">
        <v>620</v>
      </c>
      <c r="D114" s="209">
        <f>'[1]Таблица 6'!D33</f>
        <v>170</v>
      </c>
      <c r="E114" s="209">
        <f>'[1]Таблица 6'!E33</f>
        <v>290</v>
      </c>
      <c r="F114" s="209">
        <f>'[1]Таблица 6'!F33</f>
        <v>290</v>
      </c>
      <c r="G114" s="209">
        <f>'[1]Таблица 6'!G33</f>
        <v>290</v>
      </c>
    </row>
    <row r="115" spans="1:7" ht="12.75">
      <c r="A115" s="191"/>
      <c r="B115" s="105"/>
      <c r="C115" s="273" t="s">
        <v>700</v>
      </c>
      <c r="D115" s="209"/>
      <c r="E115" s="209"/>
      <c r="F115" s="209"/>
      <c r="G115" s="209"/>
    </row>
    <row r="116" spans="1:7" ht="12.75">
      <c r="A116" s="191"/>
      <c r="B116" s="105"/>
      <c r="C116" s="272" t="s">
        <v>627</v>
      </c>
      <c r="D116" s="209"/>
      <c r="E116" s="209"/>
      <c r="F116" s="209"/>
      <c r="G116" s="209"/>
    </row>
    <row r="117" spans="1:7" ht="12.75">
      <c r="A117" s="191"/>
      <c r="B117" s="105"/>
      <c r="C117" s="272" t="s">
        <v>701</v>
      </c>
      <c r="D117" s="209"/>
      <c r="E117" s="209"/>
      <c r="F117" s="209"/>
      <c r="G117" s="209"/>
    </row>
    <row r="118" spans="1:7" ht="12.75">
      <c r="A118" s="191"/>
      <c r="B118" s="105"/>
      <c r="C118" s="272" t="s">
        <v>625</v>
      </c>
      <c r="D118" s="209"/>
      <c r="E118" s="209"/>
      <c r="F118" s="209"/>
      <c r="G118" s="209"/>
    </row>
    <row r="119" spans="1:7" ht="12.75">
      <c r="A119" s="191"/>
      <c r="B119" s="105"/>
      <c r="C119" s="272" t="s">
        <v>626</v>
      </c>
      <c r="D119" s="209"/>
      <c r="E119" s="209"/>
      <c r="F119" s="209"/>
      <c r="G119" s="209"/>
    </row>
    <row r="120" spans="1:7" ht="12.75" customHeight="1">
      <c r="A120" s="191" t="s">
        <v>715</v>
      </c>
      <c r="B120" s="195" t="s">
        <v>472</v>
      </c>
      <c r="C120" s="272" t="s">
        <v>619</v>
      </c>
      <c r="D120" s="209">
        <f>D121+D123+D124+D125</f>
        <v>88</v>
      </c>
      <c r="E120" s="209">
        <f>E121+E123+E124+E125</f>
        <v>88</v>
      </c>
      <c r="F120" s="209">
        <f>F121+F123+F124+F125</f>
        <v>88</v>
      </c>
      <c r="G120" s="209">
        <f>G121+G123+G124+G125</f>
        <v>88</v>
      </c>
    </row>
    <row r="121" spans="1:7" ht="12.75">
      <c r="A121" s="191"/>
      <c r="B121" s="195"/>
      <c r="C121" s="272" t="s">
        <v>620</v>
      </c>
      <c r="D121" s="209">
        <f>'[1]Таблица 6'!D34</f>
        <v>88</v>
      </c>
      <c r="E121" s="209">
        <f>'[1]Таблица 6'!E34</f>
        <v>88</v>
      </c>
      <c r="F121" s="209">
        <f>'[1]Таблица 6'!F34</f>
        <v>88</v>
      </c>
      <c r="G121" s="209">
        <f>'[1]Таблица 6'!G34</f>
        <v>88</v>
      </c>
    </row>
    <row r="122" spans="1:7" ht="12.75">
      <c r="A122" s="191"/>
      <c r="B122" s="195"/>
      <c r="C122" s="273" t="s">
        <v>700</v>
      </c>
      <c r="D122" s="209">
        <f>'[1]Таблица 6'!D34</f>
        <v>88</v>
      </c>
      <c r="E122" s="209">
        <f>'[1]Таблица 6'!E34</f>
        <v>88</v>
      </c>
      <c r="F122" s="209">
        <f>'[1]Таблица 6'!F34</f>
        <v>88</v>
      </c>
      <c r="G122" s="209">
        <f>'[1]Таблица 6'!G34</f>
        <v>88</v>
      </c>
    </row>
    <row r="123" spans="1:7" ht="12.75">
      <c r="A123" s="191"/>
      <c r="B123" s="195"/>
      <c r="C123" s="272" t="s">
        <v>627</v>
      </c>
      <c r="D123" s="209"/>
      <c r="E123" s="209"/>
      <c r="F123" s="209"/>
      <c r="G123" s="209"/>
    </row>
    <row r="124" spans="1:7" ht="12.75">
      <c r="A124" s="191"/>
      <c r="B124" s="195"/>
      <c r="C124" s="272" t="s">
        <v>701</v>
      </c>
      <c r="D124" s="209"/>
      <c r="E124" s="209"/>
      <c r="F124" s="209"/>
      <c r="G124" s="209"/>
    </row>
    <row r="125" spans="1:7" ht="12.75">
      <c r="A125" s="191"/>
      <c r="B125" s="195"/>
      <c r="C125" s="272" t="s">
        <v>625</v>
      </c>
      <c r="D125" s="209"/>
      <c r="E125" s="209"/>
      <c r="F125" s="209"/>
      <c r="G125" s="209"/>
    </row>
    <row r="126" spans="1:7" ht="12.75">
      <c r="A126" s="191"/>
      <c r="B126" s="195"/>
      <c r="C126" s="272" t="s">
        <v>626</v>
      </c>
      <c r="D126" s="209"/>
      <c r="E126" s="209"/>
      <c r="F126" s="209"/>
      <c r="G126" s="209"/>
    </row>
    <row r="127" spans="1:7" ht="12.75" customHeight="1">
      <c r="A127" s="191" t="s">
        <v>716</v>
      </c>
      <c r="B127" s="195" t="s">
        <v>474</v>
      </c>
      <c r="C127" s="272" t="s">
        <v>619</v>
      </c>
      <c r="D127" s="209">
        <f>D128+D130+D131+D132</f>
        <v>57203.3</v>
      </c>
      <c r="E127" s="209">
        <f>E128+E130+E131+E132</f>
        <v>62198.4</v>
      </c>
      <c r="F127" s="209">
        <f>F128+F130+F131+F132</f>
        <v>65370</v>
      </c>
      <c r="G127" s="209">
        <f>G128+G130+G131+G132</f>
        <v>68703.5</v>
      </c>
    </row>
    <row r="128" spans="1:7" ht="12.75">
      <c r="A128" s="191"/>
      <c r="B128" s="195"/>
      <c r="C128" s="272" t="s">
        <v>620</v>
      </c>
      <c r="D128" s="209">
        <f>'[1]Таблица 6'!D35</f>
        <v>57203.3</v>
      </c>
      <c r="E128" s="209">
        <f>'[1]Таблица 6'!E35</f>
        <v>62198.4</v>
      </c>
      <c r="F128" s="209">
        <f>'[1]Таблица 6'!F35</f>
        <v>65370</v>
      </c>
      <c r="G128" s="209">
        <f>'[1]Таблица 6'!G35</f>
        <v>68703.5</v>
      </c>
    </row>
    <row r="129" spans="1:7" ht="12.75">
      <c r="A129" s="191"/>
      <c r="B129" s="195"/>
      <c r="C129" s="273" t="s">
        <v>700</v>
      </c>
      <c r="D129" s="209">
        <f>'[1]Таблица 6'!D35</f>
        <v>57203.3</v>
      </c>
      <c r="E129" s="209">
        <f>'[1]Таблица 6'!E35</f>
        <v>62198.4</v>
      </c>
      <c r="F129" s="209">
        <f>'[1]Таблица 6'!F35</f>
        <v>65370</v>
      </c>
      <c r="G129" s="209">
        <f>'[1]Таблица 6'!G35</f>
        <v>68703.5</v>
      </c>
    </row>
    <row r="130" spans="1:7" ht="12.75">
      <c r="A130" s="191"/>
      <c r="B130" s="195"/>
      <c r="C130" s="272" t="s">
        <v>627</v>
      </c>
      <c r="D130" s="209"/>
      <c r="E130" s="209"/>
      <c r="F130" s="209"/>
      <c r="G130" s="209"/>
    </row>
    <row r="131" spans="1:7" ht="12.75">
      <c r="A131" s="191"/>
      <c r="B131" s="195"/>
      <c r="C131" s="272" t="s">
        <v>701</v>
      </c>
      <c r="D131" s="209"/>
      <c r="E131" s="209"/>
      <c r="F131" s="209"/>
      <c r="G131" s="209"/>
    </row>
    <row r="132" spans="1:7" ht="12.75">
      <c r="A132" s="191"/>
      <c r="B132" s="195"/>
      <c r="C132" s="272" t="s">
        <v>625</v>
      </c>
      <c r="D132" s="209"/>
      <c r="E132" s="209"/>
      <c r="F132" s="209"/>
      <c r="G132" s="209"/>
    </row>
    <row r="133" spans="1:7" ht="12.75">
      <c r="A133" s="191"/>
      <c r="B133" s="195"/>
      <c r="C133" s="272" t="s">
        <v>626</v>
      </c>
      <c r="D133" s="209"/>
      <c r="E133" s="209"/>
      <c r="F133" s="209"/>
      <c r="G133" s="209"/>
    </row>
    <row r="134" spans="1:7" ht="12.75" customHeight="1">
      <c r="A134" s="191" t="s">
        <v>717</v>
      </c>
      <c r="B134" s="195" t="s">
        <v>476</v>
      </c>
      <c r="C134" s="272" t="s">
        <v>619</v>
      </c>
      <c r="D134" s="209">
        <f>D135+D137+D138+D139</f>
        <v>72.6</v>
      </c>
      <c r="E134" s="209">
        <f>E135+E137+E138+E139</f>
        <v>72.6</v>
      </c>
      <c r="F134" s="209">
        <f>F135+F137+F138+F139</f>
        <v>72.6</v>
      </c>
      <c r="G134" s="209">
        <f>G135+G137+G138+G139</f>
        <v>72.6</v>
      </c>
    </row>
    <row r="135" spans="1:7" ht="12.75">
      <c r="A135" s="191"/>
      <c r="B135" s="195"/>
      <c r="C135" s="272" t="s">
        <v>620</v>
      </c>
      <c r="D135" s="209">
        <f>'[1]Таблица 6'!D36</f>
        <v>72.6</v>
      </c>
      <c r="E135" s="209">
        <f>'[1]Таблица 6'!E36</f>
        <v>72.6</v>
      </c>
      <c r="F135" s="209">
        <f>'[1]Таблица 6'!F36</f>
        <v>72.6</v>
      </c>
      <c r="G135" s="209">
        <f>'[1]Таблица 6'!G36</f>
        <v>72.6</v>
      </c>
    </row>
    <row r="136" spans="1:7" ht="12.75">
      <c r="A136" s="191"/>
      <c r="B136" s="195"/>
      <c r="C136" s="273" t="s">
        <v>700</v>
      </c>
      <c r="D136" s="209">
        <f>'[1]Таблица 6'!D36</f>
        <v>72.6</v>
      </c>
      <c r="E136" s="209">
        <f>'[1]Таблица 6'!E36</f>
        <v>72.6</v>
      </c>
      <c r="F136" s="209">
        <f>'[1]Таблица 6'!F36</f>
        <v>72.6</v>
      </c>
      <c r="G136" s="209">
        <f>'[1]Таблица 6'!G36</f>
        <v>72.6</v>
      </c>
    </row>
    <row r="137" spans="1:7" ht="12.75">
      <c r="A137" s="191"/>
      <c r="B137" s="195"/>
      <c r="C137" s="272" t="s">
        <v>627</v>
      </c>
      <c r="D137" s="209"/>
      <c r="E137" s="209"/>
      <c r="F137" s="209"/>
      <c r="G137" s="209"/>
    </row>
    <row r="138" spans="1:7" ht="12.75">
      <c r="A138" s="191"/>
      <c r="B138" s="195"/>
      <c r="C138" s="272" t="s">
        <v>701</v>
      </c>
      <c r="D138" s="209"/>
      <c r="E138" s="209"/>
      <c r="F138" s="209"/>
      <c r="G138" s="209"/>
    </row>
    <row r="139" spans="1:7" ht="12.75">
      <c r="A139" s="191"/>
      <c r="B139" s="195"/>
      <c r="C139" s="272" t="s">
        <v>625</v>
      </c>
      <c r="D139" s="209"/>
      <c r="E139" s="209"/>
      <c r="F139" s="209"/>
      <c r="G139" s="209"/>
    </row>
    <row r="140" spans="1:7" ht="12.75">
      <c r="A140" s="191"/>
      <c r="B140" s="195"/>
      <c r="C140" s="272" t="s">
        <v>626</v>
      </c>
      <c r="D140" s="209"/>
      <c r="E140" s="209"/>
      <c r="F140" s="209"/>
      <c r="G140" s="209"/>
    </row>
    <row r="141" spans="1:7" ht="12.75" customHeight="1">
      <c r="A141" s="191" t="s">
        <v>718</v>
      </c>
      <c r="B141" s="195" t="s">
        <v>478</v>
      </c>
      <c r="C141" s="272" t="s">
        <v>619</v>
      </c>
      <c r="D141" s="209">
        <f>D142+D144+D145+D146</f>
        <v>38730.4</v>
      </c>
      <c r="E141" s="209">
        <f>E142+E144+E145+E146</f>
        <v>45936.8</v>
      </c>
      <c r="F141" s="209">
        <f>F142+F144+F145+F146</f>
        <v>47745.3</v>
      </c>
      <c r="G141" s="209">
        <f>G142+G144+G145+G146</f>
        <v>49571.3</v>
      </c>
    </row>
    <row r="142" spans="1:7" ht="12.75">
      <c r="A142" s="191"/>
      <c r="B142" s="195"/>
      <c r="C142" s="272" t="s">
        <v>620</v>
      </c>
      <c r="D142" s="209">
        <f>'[1]Таблица 6'!D37</f>
        <v>38730.4</v>
      </c>
      <c r="E142" s="209">
        <f>'[1]Таблица 6'!E37</f>
        <v>45936.8</v>
      </c>
      <c r="F142" s="209">
        <f>'[1]Таблица 6'!F37</f>
        <v>47745.3</v>
      </c>
      <c r="G142" s="209">
        <f>'[1]Таблица 6'!G37</f>
        <v>49571.3</v>
      </c>
    </row>
    <row r="143" spans="1:7" ht="12.75">
      <c r="A143" s="191"/>
      <c r="B143" s="195"/>
      <c r="C143" s="273" t="s">
        <v>700</v>
      </c>
      <c r="D143" s="209">
        <f>'[1]Таблица 6'!D37</f>
        <v>38730.4</v>
      </c>
      <c r="E143" s="209">
        <f>'[1]Таблица 6'!E37</f>
        <v>45936.8</v>
      </c>
      <c r="F143" s="209">
        <f>'[1]Таблица 6'!F37</f>
        <v>47745.3</v>
      </c>
      <c r="G143" s="209">
        <f>'[1]Таблица 6'!G37</f>
        <v>49571.3</v>
      </c>
    </row>
    <row r="144" spans="1:7" ht="12.75">
      <c r="A144" s="191"/>
      <c r="B144" s="195"/>
      <c r="C144" s="272" t="s">
        <v>627</v>
      </c>
      <c r="D144" s="209"/>
      <c r="E144" s="209"/>
      <c r="F144" s="209"/>
      <c r="G144" s="209"/>
    </row>
    <row r="145" spans="1:7" ht="12.75">
      <c r="A145" s="191"/>
      <c r="B145" s="195"/>
      <c r="C145" s="272" t="s">
        <v>701</v>
      </c>
      <c r="D145" s="209"/>
      <c r="E145" s="209"/>
      <c r="F145" s="209"/>
      <c r="G145" s="209"/>
    </row>
    <row r="146" spans="1:7" ht="12.75">
      <c r="A146" s="191"/>
      <c r="B146" s="195"/>
      <c r="C146" s="272" t="s">
        <v>625</v>
      </c>
      <c r="D146" s="209"/>
      <c r="E146" s="209"/>
      <c r="F146" s="209"/>
      <c r="G146" s="209"/>
    </row>
    <row r="147" spans="1:7" ht="12.75">
      <c r="A147" s="191"/>
      <c r="B147" s="195"/>
      <c r="C147" s="272" t="s">
        <v>626</v>
      </c>
      <c r="D147" s="209"/>
      <c r="E147" s="209"/>
      <c r="F147" s="209"/>
      <c r="G147" s="209"/>
    </row>
    <row r="148" spans="1:7" ht="12.75" customHeight="1">
      <c r="A148" s="191" t="s">
        <v>719</v>
      </c>
      <c r="B148" s="105" t="s">
        <v>480</v>
      </c>
      <c r="C148" s="272" t="s">
        <v>619</v>
      </c>
      <c r="D148" s="209">
        <f>D149+D151+D152+D153</f>
        <v>893.2</v>
      </c>
      <c r="E148" s="209">
        <f>E149+E151+E152+E153</f>
        <v>893.2</v>
      </c>
      <c r="F148" s="209">
        <f>F149+F151+F152+F153</f>
        <v>893.2</v>
      </c>
      <c r="G148" s="209">
        <f>G149+G151+G152+G153</f>
        <v>893.2</v>
      </c>
    </row>
    <row r="149" spans="1:7" ht="12.75">
      <c r="A149" s="191"/>
      <c r="B149" s="105"/>
      <c r="C149" s="272" t="s">
        <v>620</v>
      </c>
      <c r="D149" s="209">
        <f>'[1]Таблица 6'!D38</f>
        <v>893.2</v>
      </c>
      <c r="E149" s="209">
        <f>'[1]Таблица 6'!E38</f>
        <v>893.2</v>
      </c>
      <c r="F149" s="209">
        <f>'[1]Таблица 6'!F38</f>
        <v>893.2</v>
      </c>
      <c r="G149" s="209">
        <f>'[1]Таблица 6'!G38</f>
        <v>893.2</v>
      </c>
    </row>
    <row r="150" spans="1:7" ht="12.75">
      <c r="A150" s="191"/>
      <c r="B150" s="105"/>
      <c r="C150" s="273" t="s">
        <v>700</v>
      </c>
      <c r="D150" s="209"/>
      <c r="E150" s="209"/>
      <c r="F150" s="209"/>
      <c r="G150" s="209"/>
    </row>
    <row r="151" spans="1:7" ht="12.75">
      <c r="A151" s="191"/>
      <c r="B151" s="105"/>
      <c r="C151" s="272" t="s">
        <v>627</v>
      </c>
      <c r="D151" s="209"/>
      <c r="E151" s="209"/>
      <c r="F151" s="209"/>
      <c r="G151" s="209"/>
    </row>
    <row r="152" spans="1:7" ht="12.75">
      <c r="A152" s="191"/>
      <c r="B152" s="105"/>
      <c r="C152" s="272" t="s">
        <v>701</v>
      </c>
      <c r="D152" s="209"/>
      <c r="E152" s="209"/>
      <c r="F152" s="209"/>
      <c r="G152" s="209"/>
    </row>
    <row r="153" spans="1:7" ht="12.75">
      <c r="A153" s="191"/>
      <c r="B153" s="105"/>
      <c r="C153" s="272" t="s">
        <v>625</v>
      </c>
      <c r="D153" s="209"/>
      <c r="E153" s="209"/>
      <c r="F153" s="209"/>
      <c r="G153" s="209"/>
    </row>
    <row r="154" spans="1:7" ht="12.75">
      <c r="A154" s="191"/>
      <c r="B154" s="105"/>
      <c r="C154" s="272" t="s">
        <v>626</v>
      </c>
      <c r="D154" s="209"/>
      <c r="E154" s="209"/>
      <c r="F154" s="209"/>
      <c r="G154" s="209"/>
    </row>
    <row r="155" spans="1:7" ht="12.75" customHeight="1">
      <c r="A155" s="191" t="s">
        <v>720</v>
      </c>
      <c r="B155" s="197" t="s">
        <v>482</v>
      </c>
      <c r="C155" s="272" t="s">
        <v>619</v>
      </c>
      <c r="D155" s="209">
        <f>D156+D158+D159+D160</f>
        <v>208720.6</v>
      </c>
      <c r="E155" s="209">
        <f>E156+E158+E159+E160</f>
        <v>234627.4</v>
      </c>
      <c r="F155" s="209">
        <f>F156+F158+F159+F160</f>
        <v>234627.4</v>
      </c>
      <c r="G155" s="209">
        <f>G156+G158+G159+G160</f>
        <v>234627.4</v>
      </c>
    </row>
    <row r="156" spans="1:7" ht="12.75">
      <c r="A156" s="191"/>
      <c r="B156" s="197"/>
      <c r="C156" s="272" t="s">
        <v>620</v>
      </c>
      <c r="D156" s="209">
        <f>'[1]Таблица 6'!D39</f>
        <v>208720.6</v>
      </c>
      <c r="E156" s="209">
        <f>'[1]Таблица 6'!E39</f>
        <v>234627.4</v>
      </c>
      <c r="F156" s="209">
        <f>'[1]Таблица 6'!F39</f>
        <v>234627.4</v>
      </c>
      <c r="G156" s="209">
        <f>'[1]Таблица 6'!G39</f>
        <v>234627.4</v>
      </c>
    </row>
    <row r="157" spans="1:7" ht="12.75">
      <c r="A157" s="191"/>
      <c r="B157" s="197"/>
      <c r="C157" s="273" t="s">
        <v>700</v>
      </c>
      <c r="D157" s="209"/>
      <c r="E157" s="209"/>
      <c r="F157" s="209"/>
      <c r="G157" s="209"/>
    </row>
    <row r="158" spans="1:7" ht="12.75">
      <c r="A158" s="191"/>
      <c r="B158" s="197"/>
      <c r="C158" s="272" t="s">
        <v>627</v>
      </c>
      <c r="D158" s="209"/>
      <c r="E158" s="209"/>
      <c r="F158" s="209"/>
      <c r="G158" s="209"/>
    </row>
    <row r="159" spans="1:7" ht="12.75">
      <c r="A159" s="191"/>
      <c r="B159" s="197"/>
      <c r="C159" s="272" t="s">
        <v>701</v>
      </c>
      <c r="D159" s="209"/>
      <c r="E159" s="209"/>
      <c r="F159" s="209"/>
      <c r="G159" s="209"/>
    </row>
    <row r="160" spans="1:7" ht="13.5" customHeight="1">
      <c r="A160" s="191"/>
      <c r="B160" s="197"/>
      <c r="C160" s="272" t="s">
        <v>625</v>
      </c>
      <c r="D160" s="209"/>
      <c r="E160" s="209"/>
      <c r="F160" s="209"/>
      <c r="G160" s="209"/>
    </row>
    <row r="161" spans="1:7" ht="12" customHeight="1">
      <c r="A161" s="191"/>
      <c r="B161" s="197"/>
      <c r="C161" s="272" t="s">
        <v>626</v>
      </c>
      <c r="D161" s="209"/>
      <c r="E161" s="209"/>
      <c r="F161" s="209"/>
      <c r="G161" s="209"/>
    </row>
    <row r="162" spans="1:7" ht="12.75" customHeight="1">
      <c r="A162" s="191" t="s">
        <v>721</v>
      </c>
      <c r="B162" s="105" t="s">
        <v>484</v>
      </c>
      <c r="C162" s="272" t="s">
        <v>619</v>
      </c>
      <c r="D162" s="209">
        <f>D163+D165+D166+D167</f>
        <v>362066.4</v>
      </c>
      <c r="E162" s="209">
        <f>E163+E165+E166+E167</f>
        <v>377255.9</v>
      </c>
      <c r="F162" s="209">
        <f>F163+F165+F166+F167</f>
        <v>398533.1</v>
      </c>
      <c r="G162" s="209">
        <f>G163+G165+G166+G167</f>
        <v>419282.8</v>
      </c>
    </row>
    <row r="163" spans="1:7" ht="12.75">
      <c r="A163" s="191"/>
      <c r="B163" s="105"/>
      <c r="C163" s="272" t="s">
        <v>620</v>
      </c>
      <c r="D163" s="209">
        <f>'[1]Таблица 6'!D40</f>
        <v>362066.4</v>
      </c>
      <c r="E163" s="209">
        <f>'[1]Таблица 6'!E40</f>
        <v>377255.9</v>
      </c>
      <c r="F163" s="209">
        <f>'[1]Таблица 6'!F40</f>
        <v>398533.1</v>
      </c>
      <c r="G163" s="209">
        <f>'[1]Таблица 6'!G40</f>
        <v>419282.8</v>
      </c>
    </row>
    <row r="164" spans="1:7" ht="12.75">
      <c r="A164" s="191"/>
      <c r="B164" s="105"/>
      <c r="C164" s="273" t="s">
        <v>700</v>
      </c>
      <c r="D164" s="209"/>
      <c r="E164" s="209"/>
      <c r="F164" s="209"/>
      <c r="G164" s="209"/>
    </row>
    <row r="165" spans="1:7" ht="12.75">
      <c r="A165" s="191"/>
      <c r="B165" s="105"/>
      <c r="C165" s="272" t="s">
        <v>627</v>
      </c>
      <c r="D165" s="209"/>
      <c r="E165" s="209"/>
      <c r="F165" s="209"/>
      <c r="G165" s="209"/>
    </row>
    <row r="166" spans="1:7" ht="12.75">
      <c r="A166" s="191"/>
      <c r="B166" s="105"/>
      <c r="C166" s="272" t="s">
        <v>701</v>
      </c>
      <c r="D166" s="209"/>
      <c r="E166" s="209"/>
      <c r="F166" s="209"/>
      <c r="G166" s="209"/>
    </row>
    <row r="167" spans="1:7" ht="12.75">
      <c r="A167" s="191"/>
      <c r="B167" s="105"/>
      <c r="C167" s="272" t="s">
        <v>625</v>
      </c>
      <c r="D167" s="209"/>
      <c r="E167" s="209"/>
      <c r="F167" s="209"/>
      <c r="G167" s="209"/>
    </row>
    <row r="168" spans="1:7" ht="12.75">
      <c r="A168" s="191"/>
      <c r="B168" s="105"/>
      <c r="C168" s="272" t="s">
        <v>626</v>
      </c>
      <c r="D168" s="209"/>
      <c r="E168" s="209"/>
      <c r="F168" s="209"/>
      <c r="G168" s="209"/>
    </row>
    <row r="169" spans="1:7" ht="12.75" customHeight="1">
      <c r="A169" s="191" t="s">
        <v>722</v>
      </c>
      <c r="B169" s="105" t="s">
        <v>486</v>
      </c>
      <c r="C169" s="272" t="s">
        <v>619</v>
      </c>
      <c r="D169" s="209">
        <f>D170+D172+D173+D174</f>
        <v>19909.1</v>
      </c>
      <c r="E169" s="209">
        <f>E170+E172+E173+E174</f>
        <v>19788.6</v>
      </c>
      <c r="F169" s="209">
        <f>F170+F172+F173+F174</f>
        <v>20966.5</v>
      </c>
      <c r="G169" s="209">
        <f>G170+G172+G173+G174</f>
        <v>22115.3</v>
      </c>
    </row>
    <row r="170" spans="1:7" ht="12.75">
      <c r="A170" s="191"/>
      <c r="B170" s="105"/>
      <c r="C170" s="272" t="s">
        <v>620</v>
      </c>
      <c r="D170" s="209">
        <f>'[1]Таблица 6'!D41</f>
        <v>19909.1</v>
      </c>
      <c r="E170" s="209">
        <f>'[1]Таблица 6'!E41</f>
        <v>19788.6</v>
      </c>
      <c r="F170" s="209">
        <f>'[1]Таблица 6'!F41</f>
        <v>20966.5</v>
      </c>
      <c r="G170" s="209">
        <f>'[1]Таблица 6'!G41</f>
        <v>22115.3</v>
      </c>
    </row>
    <row r="171" spans="1:7" ht="12.75">
      <c r="A171" s="191"/>
      <c r="B171" s="105"/>
      <c r="C171" s="273" t="s">
        <v>700</v>
      </c>
      <c r="D171" s="209"/>
      <c r="E171" s="209"/>
      <c r="F171" s="209"/>
      <c r="G171" s="209"/>
    </row>
    <row r="172" spans="1:7" ht="12.75">
      <c r="A172" s="191"/>
      <c r="B172" s="105"/>
      <c r="C172" s="272" t="s">
        <v>627</v>
      </c>
      <c r="D172" s="209"/>
      <c r="E172" s="209"/>
      <c r="F172" s="209"/>
      <c r="G172" s="209"/>
    </row>
    <row r="173" spans="1:7" ht="12.75">
      <c r="A173" s="191"/>
      <c r="B173" s="105"/>
      <c r="C173" s="272" t="s">
        <v>701</v>
      </c>
      <c r="D173" s="209"/>
      <c r="E173" s="209"/>
      <c r="F173" s="209"/>
      <c r="G173" s="209"/>
    </row>
    <row r="174" spans="1:7" ht="12.75">
      <c r="A174" s="191"/>
      <c r="B174" s="105"/>
      <c r="C174" s="272" t="s">
        <v>625</v>
      </c>
      <c r="D174" s="209"/>
      <c r="E174" s="209"/>
      <c r="F174" s="209"/>
      <c r="G174" s="209"/>
    </row>
    <row r="175" spans="1:7" ht="12.75">
      <c r="A175" s="191"/>
      <c r="B175" s="105"/>
      <c r="C175" s="272" t="s">
        <v>626</v>
      </c>
      <c r="D175" s="209"/>
      <c r="E175" s="209"/>
      <c r="F175" s="209"/>
      <c r="G175" s="209"/>
    </row>
    <row r="176" spans="1:7" ht="12.75" customHeight="1">
      <c r="A176" s="191" t="s">
        <v>723</v>
      </c>
      <c r="B176" s="88" t="s">
        <v>488</v>
      </c>
      <c r="C176" s="272" t="s">
        <v>619</v>
      </c>
      <c r="D176" s="209">
        <f>D177+D179+D180+D181</f>
        <v>2154.4</v>
      </c>
      <c r="E176" s="209">
        <f>E177+E179+E180+E181</f>
        <v>2181.8</v>
      </c>
      <c r="F176" s="209">
        <f>F177+F179+F180+F181</f>
        <v>2181.8</v>
      </c>
      <c r="G176" s="209">
        <f>G177+G179+G180+G181</f>
        <v>2181.8</v>
      </c>
    </row>
    <row r="177" spans="1:7" ht="12.75">
      <c r="A177" s="191"/>
      <c r="B177" s="88"/>
      <c r="C177" s="272" t="s">
        <v>620</v>
      </c>
      <c r="D177" s="209">
        <f>'[1]Таблица 6'!D42</f>
        <v>2154.4</v>
      </c>
      <c r="E177" s="209">
        <f>'[1]Таблица 6'!E42</f>
        <v>2181.8</v>
      </c>
      <c r="F177" s="209">
        <f>'[1]Таблица 6'!F42</f>
        <v>2181.8</v>
      </c>
      <c r="G177" s="209">
        <f>'[1]Таблица 6'!G42</f>
        <v>2181.8</v>
      </c>
    </row>
    <row r="178" spans="1:7" ht="12.75" customHeight="1">
      <c r="A178" s="191"/>
      <c r="B178" s="88"/>
      <c r="C178" s="273" t="s">
        <v>700</v>
      </c>
      <c r="D178" s="209"/>
      <c r="E178" s="209"/>
      <c r="F178" s="209"/>
      <c r="G178" s="209"/>
    </row>
    <row r="179" spans="1:7" ht="12.75">
      <c r="A179" s="191"/>
      <c r="B179" s="88"/>
      <c r="C179" s="272" t="s">
        <v>627</v>
      </c>
      <c r="D179" s="209"/>
      <c r="E179" s="209"/>
      <c r="F179" s="209"/>
      <c r="G179" s="209"/>
    </row>
    <row r="180" spans="1:7" ht="12.75">
      <c r="A180" s="191"/>
      <c r="B180" s="88"/>
      <c r="C180" s="272" t="s">
        <v>701</v>
      </c>
      <c r="D180" s="209"/>
      <c r="E180" s="209"/>
      <c r="F180" s="209"/>
      <c r="G180" s="209"/>
    </row>
    <row r="181" spans="1:7" ht="12.75">
      <c r="A181" s="191"/>
      <c r="B181" s="88"/>
      <c r="C181" s="272" t="s">
        <v>625</v>
      </c>
      <c r="D181" s="209"/>
      <c r="E181" s="209"/>
      <c r="F181" s="209"/>
      <c r="G181" s="209"/>
    </row>
    <row r="182" spans="1:7" ht="12.75">
      <c r="A182" s="191"/>
      <c r="B182" s="88"/>
      <c r="C182" s="272" t="s">
        <v>626</v>
      </c>
      <c r="D182" s="209"/>
      <c r="E182" s="209"/>
      <c r="F182" s="209"/>
      <c r="G182" s="209"/>
    </row>
    <row r="183" spans="1:7" ht="12.75" customHeight="1">
      <c r="A183" s="191" t="s">
        <v>724</v>
      </c>
      <c r="B183" s="195" t="s">
        <v>490</v>
      </c>
      <c r="C183" s="272" t="s">
        <v>619</v>
      </c>
      <c r="D183" s="209">
        <f>D184+D186+D187+D188</f>
        <v>8977.7</v>
      </c>
      <c r="E183" s="209">
        <f>E184+E186+E187+E188</f>
        <v>11096.3</v>
      </c>
      <c r="F183" s="209">
        <f>F184+F186+F187+F188</f>
        <v>12167</v>
      </c>
      <c r="G183" s="209">
        <f>G184+G186+G187+G188</f>
        <v>12911.6</v>
      </c>
    </row>
    <row r="184" spans="1:7" ht="12.75">
      <c r="A184" s="191"/>
      <c r="B184" s="195"/>
      <c r="C184" s="272" t="s">
        <v>620</v>
      </c>
      <c r="D184" s="209">
        <f>'[1]Таблица 6'!D43</f>
        <v>8977.7</v>
      </c>
      <c r="E184" s="209">
        <f>'[1]Таблица 6'!E43</f>
        <v>11096.3</v>
      </c>
      <c r="F184" s="209">
        <f>'[1]Таблица 6'!F43</f>
        <v>12167</v>
      </c>
      <c r="G184" s="209">
        <f>'[1]Таблица 6'!G43</f>
        <v>12911.6</v>
      </c>
    </row>
    <row r="185" spans="1:7" ht="12.75">
      <c r="A185" s="191"/>
      <c r="B185" s="195"/>
      <c r="C185" s="273" t="s">
        <v>700</v>
      </c>
      <c r="D185" s="209">
        <f>'[1]Таблица 6'!D43</f>
        <v>8977.7</v>
      </c>
      <c r="E185" s="209">
        <f>'[1]Таблица 6'!E43</f>
        <v>11096.3</v>
      </c>
      <c r="F185" s="209">
        <f>'[1]Таблица 6'!F43</f>
        <v>12167</v>
      </c>
      <c r="G185" s="209">
        <f>'[1]Таблица 6'!G43</f>
        <v>12911.6</v>
      </c>
    </row>
    <row r="186" spans="1:7" ht="12.75">
      <c r="A186" s="191"/>
      <c r="B186" s="195"/>
      <c r="C186" s="272" t="s">
        <v>627</v>
      </c>
      <c r="D186" s="209"/>
      <c r="E186" s="209"/>
      <c r="F186" s="209"/>
      <c r="G186" s="209"/>
    </row>
    <row r="187" spans="1:7" ht="12.75">
      <c r="A187" s="191"/>
      <c r="B187" s="195"/>
      <c r="C187" s="272" t="s">
        <v>701</v>
      </c>
      <c r="D187" s="209"/>
      <c r="E187" s="209"/>
      <c r="F187" s="209"/>
      <c r="G187" s="209"/>
    </row>
    <row r="188" spans="1:7" ht="12.75">
      <c r="A188" s="191"/>
      <c r="B188" s="195"/>
      <c r="C188" s="272" t="s">
        <v>625</v>
      </c>
      <c r="D188" s="209"/>
      <c r="E188" s="209"/>
      <c r="F188" s="209"/>
      <c r="G188" s="209"/>
    </row>
    <row r="189" spans="1:7" ht="12.75">
      <c r="A189" s="191"/>
      <c r="B189" s="195"/>
      <c r="C189" s="272" t="s">
        <v>626</v>
      </c>
      <c r="D189" s="209"/>
      <c r="E189" s="209"/>
      <c r="F189" s="209"/>
      <c r="G189" s="209"/>
    </row>
    <row r="190" spans="1:7" ht="12.75" customHeight="1">
      <c r="A190" s="191" t="s">
        <v>725</v>
      </c>
      <c r="B190" s="195" t="s">
        <v>588</v>
      </c>
      <c r="C190" s="272" t="s">
        <v>619</v>
      </c>
      <c r="D190" s="209">
        <f>D191+D193+D194+D195</f>
        <v>479</v>
      </c>
      <c r="E190" s="209">
        <f>E191+E193+E194+E195</f>
        <v>479</v>
      </c>
      <c r="F190" s="209">
        <f>F191+F193+F194+F195</f>
        <v>479</v>
      </c>
      <c r="G190" s="209">
        <f>G191+G193+G194+G195</f>
        <v>479</v>
      </c>
    </row>
    <row r="191" spans="1:7" ht="12.75">
      <c r="A191" s="191"/>
      <c r="B191" s="195"/>
      <c r="C191" s="272" t="s">
        <v>620</v>
      </c>
      <c r="D191" s="209">
        <f>'[1]Таблица 6'!D44</f>
        <v>479</v>
      </c>
      <c r="E191" s="209">
        <f>'[1]Таблица 6'!E44</f>
        <v>479</v>
      </c>
      <c r="F191" s="209">
        <f>'[1]Таблица 6'!F44</f>
        <v>479</v>
      </c>
      <c r="G191" s="209">
        <f>'[1]Таблица 6'!G44</f>
        <v>479</v>
      </c>
    </row>
    <row r="192" spans="1:7" ht="12.75">
      <c r="A192" s="191"/>
      <c r="B192" s="195"/>
      <c r="C192" s="273" t="s">
        <v>700</v>
      </c>
      <c r="D192" s="209"/>
      <c r="E192" s="209"/>
      <c r="F192" s="209"/>
      <c r="G192" s="209"/>
    </row>
    <row r="193" spans="1:7" ht="12.75">
      <c r="A193" s="191"/>
      <c r="B193" s="195"/>
      <c r="C193" s="272" t="s">
        <v>627</v>
      </c>
      <c r="D193" s="209"/>
      <c r="E193" s="209"/>
      <c r="F193" s="209"/>
      <c r="G193" s="209"/>
    </row>
    <row r="194" spans="1:7" ht="12.75">
      <c r="A194" s="191"/>
      <c r="B194" s="195"/>
      <c r="C194" s="272" t="s">
        <v>701</v>
      </c>
      <c r="D194" s="209"/>
      <c r="E194" s="209"/>
      <c r="F194" s="209"/>
      <c r="G194" s="209"/>
    </row>
    <row r="195" spans="1:7" ht="12.75">
      <c r="A195" s="191"/>
      <c r="B195" s="195"/>
      <c r="C195" s="272" t="s">
        <v>625</v>
      </c>
      <c r="D195" s="209"/>
      <c r="E195" s="209"/>
      <c r="F195" s="209"/>
      <c r="G195" s="209"/>
    </row>
    <row r="196" spans="1:7" ht="12.75">
      <c r="A196" s="191"/>
      <c r="B196" s="195"/>
      <c r="C196" s="272" t="s">
        <v>626</v>
      </c>
      <c r="D196" s="209"/>
      <c r="E196" s="209"/>
      <c r="F196" s="209"/>
      <c r="G196" s="209"/>
    </row>
    <row r="197" spans="1:7" ht="12.75" customHeight="1">
      <c r="A197" s="191" t="s">
        <v>726</v>
      </c>
      <c r="B197" s="88" t="s">
        <v>657</v>
      </c>
      <c r="C197" s="272" t="s">
        <v>619</v>
      </c>
      <c r="D197" s="209">
        <f>D198+D200+D201+D202</f>
        <v>104.451</v>
      </c>
      <c r="E197" s="209">
        <f>E198+E200+E201+E202</f>
        <v>0</v>
      </c>
      <c r="F197" s="209">
        <f>F198+F200+F201+F202</f>
        <v>0</v>
      </c>
      <c r="G197" s="209">
        <f>G198+G200+G201+G202</f>
        <v>0</v>
      </c>
    </row>
    <row r="198" spans="1:7" ht="12.75">
      <c r="A198" s="191"/>
      <c r="B198" s="88"/>
      <c r="C198" s="272" t="s">
        <v>620</v>
      </c>
      <c r="D198" s="209">
        <f>'[1]Таблица 6'!D47</f>
        <v>104.451</v>
      </c>
      <c r="E198" s="209">
        <f>'[1]Таблица 6'!E47</f>
        <v>0</v>
      </c>
      <c r="F198" s="209">
        <f>'[1]Таблица 6'!F47</f>
        <v>0</v>
      </c>
      <c r="G198" s="209">
        <f>'[1]Таблица 6'!G47</f>
        <v>0</v>
      </c>
    </row>
    <row r="199" spans="1:7" ht="12.75">
      <c r="A199" s="191"/>
      <c r="B199" s="88"/>
      <c r="C199" s="273" t="s">
        <v>700</v>
      </c>
      <c r="D199" s="209">
        <f>'[1]Таблица 6'!D47</f>
        <v>104.451</v>
      </c>
      <c r="E199" s="209">
        <f>'[1]Таблица 6'!E47</f>
        <v>0</v>
      </c>
      <c r="F199" s="209">
        <f>'[1]Таблица 6'!F47</f>
        <v>0</v>
      </c>
      <c r="G199" s="209">
        <f>'[1]Таблица 6'!G47</f>
        <v>0</v>
      </c>
    </row>
    <row r="200" spans="1:7" ht="12.75">
      <c r="A200" s="191"/>
      <c r="B200" s="88"/>
      <c r="C200" s="272" t="s">
        <v>627</v>
      </c>
      <c r="D200" s="209"/>
      <c r="E200" s="209"/>
      <c r="F200" s="209"/>
      <c r="G200" s="209"/>
    </row>
    <row r="201" spans="1:7" ht="12.75">
      <c r="A201" s="191"/>
      <c r="B201" s="88"/>
      <c r="C201" s="272" t="s">
        <v>701</v>
      </c>
      <c r="D201" s="209"/>
      <c r="E201" s="209"/>
      <c r="F201" s="209"/>
      <c r="G201" s="209"/>
    </row>
    <row r="202" spans="1:7" ht="12.75">
      <c r="A202" s="191"/>
      <c r="B202" s="88"/>
      <c r="C202" s="272" t="s">
        <v>625</v>
      </c>
      <c r="D202" s="209"/>
      <c r="E202" s="209"/>
      <c r="F202" s="209"/>
      <c r="G202" s="209"/>
    </row>
    <row r="203" spans="1:7" ht="12.75">
      <c r="A203" s="191"/>
      <c r="B203" s="88"/>
      <c r="C203" s="272" t="s">
        <v>626</v>
      </c>
      <c r="D203" s="209"/>
      <c r="E203" s="209"/>
      <c r="F203" s="209"/>
      <c r="G203" s="209"/>
    </row>
    <row r="204" spans="1:7" ht="12.75" customHeight="1">
      <c r="A204" s="191" t="s">
        <v>727</v>
      </c>
      <c r="B204" s="194" t="s">
        <v>591</v>
      </c>
      <c r="C204" s="272" t="s">
        <v>619</v>
      </c>
      <c r="D204" s="209">
        <f>D205+D207+D208+D209</f>
        <v>0</v>
      </c>
      <c r="E204" s="209">
        <f>E205+E207+E208+E209</f>
        <v>475</v>
      </c>
      <c r="F204" s="209">
        <f>F205+F207+F208+F209</f>
        <v>475</v>
      </c>
      <c r="G204" s="209">
        <f>G205+G207+G208+G209</f>
        <v>475</v>
      </c>
    </row>
    <row r="205" spans="1:7" ht="12.75">
      <c r="A205" s="191"/>
      <c r="B205" s="194"/>
      <c r="C205" s="272" t="s">
        <v>620</v>
      </c>
      <c r="D205" s="209">
        <f>'[1]Таблица 6'!D45</f>
        <v>0</v>
      </c>
      <c r="E205" s="209">
        <f>'[1]Таблица 6'!E45</f>
        <v>475</v>
      </c>
      <c r="F205" s="209">
        <f>'[1]Таблица 6'!F45</f>
        <v>475</v>
      </c>
      <c r="G205" s="209">
        <f>'[1]Таблица 6'!G45</f>
        <v>475</v>
      </c>
    </row>
    <row r="206" spans="1:7" ht="12.75">
      <c r="A206" s="191"/>
      <c r="B206" s="194"/>
      <c r="C206" s="273" t="s">
        <v>700</v>
      </c>
      <c r="D206" s="209"/>
      <c r="E206" s="209"/>
      <c r="F206" s="209"/>
      <c r="G206" s="209"/>
    </row>
    <row r="207" spans="1:7" ht="12.75">
      <c r="A207" s="191"/>
      <c r="B207" s="194"/>
      <c r="C207" s="272" t="s">
        <v>627</v>
      </c>
      <c r="D207" s="209"/>
      <c r="E207" s="209"/>
      <c r="F207" s="209"/>
      <c r="G207" s="209"/>
    </row>
    <row r="208" spans="1:7" ht="12.75">
      <c r="A208" s="191"/>
      <c r="B208" s="194"/>
      <c r="C208" s="272" t="s">
        <v>701</v>
      </c>
      <c r="D208" s="209"/>
      <c r="E208" s="209"/>
      <c r="F208" s="209"/>
      <c r="G208" s="209"/>
    </row>
    <row r="209" spans="1:7" ht="12.75">
      <c r="A209" s="191"/>
      <c r="B209" s="194"/>
      <c r="C209" s="272" t="s">
        <v>625</v>
      </c>
      <c r="D209" s="209"/>
      <c r="E209" s="209"/>
      <c r="F209" s="209"/>
      <c r="G209" s="209"/>
    </row>
    <row r="210" spans="1:7" ht="30" customHeight="1">
      <c r="A210" s="191"/>
      <c r="B210" s="194"/>
      <c r="C210" s="272" t="s">
        <v>626</v>
      </c>
      <c r="D210" s="209"/>
      <c r="E210" s="209"/>
      <c r="F210" s="209"/>
      <c r="G210" s="209"/>
    </row>
    <row r="211" spans="1:7" ht="12.75" customHeight="1">
      <c r="A211" s="191" t="s">
        <v>728</v>
      </c>
      <c r="B211" s="195" t="s">
        <v>593</v>
      </c>
      <c r="C211" s="272" t="s">
        <v>619</v>
      </c>
      <c r="D211" s="209">
        <f>D212+D214+D215+D216</f>
        <v>0</v>
      </c>
      <c r="E211" s="209">
        <f>E212+E214+E215+E216</f>
        <v>200</v>
      </c>
      <c r="F211" s="209">
        <f>F212+F214+F215+F216</f>
        <v>200</v>
      </c>
      <c r="G211" s="209">
        <f>G212+G214+G215+G216</f>
        <v>200</v>
      </c>
    </row>
    <row r="212" spans="1:7" ht="12.75">
      <c r="A212" s="191"/>
      <c r="B212" s="195"/>
      <c r="C212" s="272" t="s">
        <v>620</v>
      </c>
      <c r="D212" s="209">
        <f>'[1]Таблица 6'!D46</f>
        <v>0</v>
      </c>
      <c r="E212" s="209">
        <f>'[1]Таблица 6'!E46</f>
        <v>200</v>
      </c>
      <c r="F212" s="209">
        <f>'[1]Таблица 6'!F46</f>
        <v>200</v>
      </c>
      <c r="G212" s="209">
        <f>'[1]Таблица 6'!G46</f>
        <v>200</v>
      </c>
    </row>
    <row r="213" spans="1:7" ht="12.75">
      <c r="A213" s="191"/>
      <c r="B213" s="195"/>
      <c r="C213" s="273" t="s">
        <v>700</v>
      </c>
      <c r="D213" s="209"/>
      <c r="E213" s="209"/>
      <c r="F213" s="209"/>
      <c r="G213" s="209"/>
    </row>
    <row r="214" spans="1:7" ht="12.75">
      <c r="A214" s="191"/>
      <c r="B214" s="195"/>
      <c r="C214" s="272" t="s">
        <v>627</v>
      </c>
      <c r="D214" s="209"/>
      <c r="E214" s="209"/>
      <c r="F214" s="209"/>
      <c r="G214" s="209"/>
    </row>
    <row r="215" spans="1:7" ht="12.75">
      <c r="A215" s="191"/>
      <c r="B215" s="195"/>
      <c r="C215" s="272" t="s">
        <v>701</v>
      </c>
      <c r="D215" s="209"/>
      <c r="E215" s="209"/>
      <c r="F215" s="209"/>
      <c r="G215" s="209"/>
    </row>
    <row r="216" spans="1:7" ht="12.75">
      <c r="A216" s="191"/>
      <c r="B216" s="195"/>
      <c r="C216" s="272" t="s">
        <v>625</v>
      </c>
      <c r="D216" s="209"/>
      <c r="E216" s="209"/>
      <c r="F216" s="209"/>
      <c r="G216" s="209"/>
    </row>
    <row r="217" spans="1:7" ht="12.75">
      <c r="A217" s="191"/>
      <c r="B217" s="195"/>
      <c r="C217" s="272" t="s">
        <v>626</v>
      </c>
      <c r="D217" s="209"/>
      <c r="E217" s="209"/>
      <c r="F217" s="209"/>
      <c r="G217" s="209"/>
    </row>
    <row r="218" spans="1:7" ht="12.75" customHeight="1">
      <c r="A218" s="191" t="s">
        <v>729</v>
      </c>
      <c r="B218" s="88" t="s">
        <v>595</v>
      </c>
      <c r="C218" s="272" t="s">
        <v>619</v>
      </c>
      <c r="D218" s="209">
        <f>D219+D221+D222+D223</f>
        <v>0</v>
      </c>
      <c r="E218" s="209">
        <f>E219+E221+E222+E223</f>
        <v>332198</v>
      </c>
      <c r="F218" s="209">
        <f>F219+F221+F222+F223</f>
        <v>347223.8</v>
      </c>
      <c r="G218" s="209">
        <f>G219+G221+G222+G223</f>
        <v>362650.2</v>
      </c>
    </row>
    <row r="219" spans="1:7" ht="12.75">
      <c r="A219" s="191"/>
      <c r="B219" s="88"/>
      <c r="C219" s="272" t="s">
        <v>620</v>
      </c>
      <c r="D219" s="209">
        <f>'[1]Таблица 6'!D48</f>
        <v>0</v>
      </c>
      <c r="E219" s="209">
        <f>'[1]Таблица 6'!E48</f>
        <v>332198</v>
      </c>
      <c r="F219" s="209">
        <f>'[1]Таблица 6'!F48</f>
        <v>347223.8</v>
      </c>
      <c r="G219" s="209">
        <f>'[1]Таблица 6'!G48</f>
        <v>362650.2</v>
      </c>
    </row>
    <row r="220" spans="1:7" ht="12.75">
      <c r="A220" s="191"/>
      <c r="B220" s="88"/>
      <c r="C220" s="273" t="s">
        <v>700</v>
      </c>
      <c r="D220" s="209">
        <f>'[1]Таблица 6'!D48</f>
        <v>0</v>
      </c>
      <c r="E220" s="209">
        <f>'[1]Таблица 6'!E48</f>
        <v>332198</v>
      </c>
      <c r="F220" s="209">
        <f>'[1]Таблица 6'!F48</f>
        <v>347223.8</v>
      </c>
      <c r="G220" s="209">
        <f>'[1]Таблица 6'!G48</f>
        <v>362650.2</v>
      </c>
    </row>
    <row r="221" spans="1:7" ht="12.75">
      <c r="A221" s="191"/>
      <c r="B221" s="88"/>
      <c r="C221" s="272" t="s">
        <v>627</v>
      </c>
      <c r="D221" s="209"/>
      <c r="E221" s="209"/>
      <c r="F221" s="209"/>
      <c r="G221" s="209"/>
    </row>
    <row r="222" spans="1:7" ht="12.75">
      <c r="A222" s="191"/>
      <c r="B222" s="88"/>
      <c r="C222" s="272" t="s">
        <v>701</v>
      </c>
      <c r="D222" s="209"/>
      <c r="E222" s="209"/>
      <c r="F222" s="209"/>
      <c r="G222" s="209"/>
    </row>
    <row r="223" spans="1:7" ht="12.75">
      <c r="A223" s="191"/>
      <c r="B223" s="88"/>
      <c r="C223" s="272" t="s">
        <v>625</v>
      </c>
      <c r="D223" s="209"/>
      <c r="E223" s="209"/>
      <c r="F223" s="209"/>
      <c r="G223" s="209"/>
    </row>
    <row r="224" spans="1:7" ht="12.75">
      <c r="A224" s="191"/>
      <c r="B224" s="88"/>
      <c r="C224" s="272" t="s">
        <v>626</v>
      </c>
      <c r="D224" s="209"/>
      <c r="E224" s="209"/>
      <c r="F224" s="209"/>
      <c r="G224" s="209"/>
    </row>
    <row r="225" spans="1:7" ht="12.75" customHeight="1">
      <c r="A225" s="191" t="s">
        <v>730</v>
      </c>
      <c r="B225" s="88" t="s">
        <v>497</v>
      </c>
      <c r="C225" s="272" t="s">
        <v>619</v>
      </c>
      <c r="D225" s="209">
        <f>D226+D228+D229+D230</f>
        <v>47126.6</v>
      </c>
      <c r="E225" s="209">
        <f>E226+E228+E229+E230</f>
        <v>40950.6</v>
      </c>
      <c r="F225" s="209">
        <f>F226+F228+F229+F230</f>
        <v>40945.1</v>
      </c>
      <c r="G225" s="209">
        <f>G226+G228+G229+G230</f>
        <v>40938.7</v>
      </c>
    </row>
    <row r="226" spans="1:7" ht="12.75">
      <c r="A226" s="191"/>
      <c r="B226" s="88"/>
      <c r="C226" s="272" t="s">
        <v>620</v>
      </c>
      <c r="D226" s="209">
        <f>'[1]Таблица 6'!D50</f>
        <v>47126.6</v>
      </c>
      <c r="E226" s="209">
        <f>'[1]Таблица 6'!E50</f>
        <v>40950.6</v>
      </c>
      <c r="F226" s="209">
        <f>'[1]Таблица 6'!F50</f>
        <v>40945.1</v>
      </c>
      <c r="G226" s="209">
        <f>'[1]Таблица 6'!G50</f>
        <v>40938.7</v>
      </c>
    </row>
    <row r="227" spans="1:7" ht="12.75">
      <c r="A227" s="191"/>
      <c r="B227" s="88"/>
      <c r="C227" s="273" t="s">
        <v>700</v>
      </c>
      <c r="D227" s="209">
        <f>'[1]Таблица 6'!D50</f>
        <v>47126.6</v>
      </c>
      <c r="E227" s="209">
        <f>'[1]Таблица 6'!E50</f>
        <v>40950.6</v>
      </c>
      <c r="F227" s="209">
        <f>'[1]Таблица 6'!F50</f>
        <v>40945.1</v>
      </c>
      <c r="G227" s="209">
        <f>'[1]Таблица 6'!G50</f>
        <v>40938.7</v>
      </c>
    </row>
    <row r="228" spans="1:7" ht="12.75">
      <c r="A228" s="191"/>
      <c r="B228" s="88"/>
      <c r="C228" s="272" t="s">
        <v>627</v>
      </c>
      <c r="D228" s="209"/>
      <c r="E228" s="209"/>
      <c r="F228" s="209"/>
      <c r="G228" s="209"/>
    </row>
    <row r="229" spans="1:7" ht="12.75">
      <c r="A229" s="191"/>
      <c r="B229" s="88"/>
      <c r="C229" s="272" t="s">
        <v>701</v>
      </c>
      <c r="D229" s="209"/>
      <c r="E229" s="209"/>
      <c r="F229" s="209"/>
      <c r="G229" s="209"/>
    </row>
    <row r="230" spans="1:7" ht="12.75">
      <c r="A230" s="191"/>
      <c r="B230" s="88"/>
      <c r="C230" s="272" t="s">
        <v>625</v>
      </c>
      <c r="D230" s="209"/>
      <c r="E230" s="209"/>
      <c r="F230" s="209"/>
      <c r="G230" s="209"/>
    </row>
    <row r="231" spans="1:7" ht="12.75">
      <c r="A231" s="191"/>
      <c r="B231" s="88"/>
      <c r="C231" s="272" t="s">
        <v>626</v>
      </c>
      <c r="D231" s="209"/>
      <c r="E231" s="209"/>
      <c r="F231" s="209"/>
      <c r="G231" s="209"/>
    </row>
    <row r="232" spans="1:7" ht="14.25" customHeight="1">
      <c r="A232" s="191" t="s">
        <v>731</v>
      </c>
      <c r="B232" s="88" t="s">
        <v>499</v>
      </c>
      <c r="C232" s="272" t="s">
        <v>619</v>
      </c>
      <c r="D232" s="209">
        <f>D233+D235+D236+D237</f>
        <v>246117.6</v>
      </c>
      <c r="E232" s="209">
        <f>E233+E235+E236+E237</f>
        <v>144027.2</v>
      </c>
      <c r="F232" s="209">
        <f>F233+F235+F236+F237</f>
        <v>150133.5</v>
      </c>
      <c r="G232" s="209">
        <f>G233+G235+G236+G237</f>
        <v>152130.2</v>
      </c>
    </row>
    <row r="233" spans="1:7" ht="24" customHeight="1">
      <c r="A233" s="191"/>
      <c r="B233" s="88"/>
      <c r="C233" s="272" t="s">
        <v>620</v>
      </c>
      <c r="D233" s="209">
        <f>'[1]Таблица 6'!D51</f>
        <v>246117.6</v>
      </c>
      <c r="E233" s="209">
        <f>'[1]Таблица 6'!E51</f>
        <v>144027.2</v>
      </c>
      <c r="F233" s="209">
        <f>'[1]Таблица 6'!F51</f>
        <v>150133.5</v>
      </c>
      <c r="G233" s="209">
        <f>'[1]Таблица 6'!G51</f>
        <v>152130.2</v>
      </c>
    </row>
    <row r="234" spans="1:7" ht="24" customHeight="1">
      <c r="A234" s="191"/>
      <c r="B234" s="88"/>
      <c r="C234" s="273" t="s">
        <v>700</v>
      </c>
      <c r="D234" s="209">
        <f>'[1]Таблица 6'!D52</f>
        <v>52455.5</v>
      </c>
      <c r="E234" s="209">
        <f>'[1]Таблица 6'!E52</f>
        <v>38127.2</v>
      </c>
      <c r="F234" s="209">
        <f>'[1]Таблица 6'!F52</f>
        <v>39933.5</v>
      </c>
      <c r="G234" s="209">
        <f>'[1]Таблица 6'!G52</f>
        <v>41930.2</v>
      </c>
    </row>
    <row r="235" spans="1:7" ht="13.5" customHeight="1">
      <c r="A235" s="191"/>
      <c r="B235" s="88"/>
      <c r="C235" s="272" t="s">
        <v>627</v>
      </c>
      <c r="D235" s="209"/>
      <c r="E235" s="209"/>
      <c r="F235" s="209"/>
      <c r="G235" s="209"/>
    </row>
    <row r="236" spans="1:7" ht="12.75">
      <c r="A236" s="191"/>
      <c r="B236" s="88"/>
      <c r="C236" s="272" t="s">
        <v>701</v>
      </c>
      <c r="D236" s="209"/>
      <c r="E236" s="209"/>
      <c r="F236" s="209"/>
      <c r="G236" s="209"/>
    </row>
    <row r="237" spans="1:7" ht="13.5" customHeight="1">
      <c r="A237" s="191"/>
      <c r="B237" s="88"/>
      <c r="C237" s="272" t="s">
        <v>625</v>
      </c>
      <c r="D237" s="209"/>
      <c r="E237" s="209"/>
      <c r="F237" s="209"/>
      <c r="G237" s="209"/>
    </row>
    <row r="238" spans="1:7" ht="19.5" customHeight="1">
      <c r="A238" s="191"/>
      <c r="B238" s="88"/>
      <c r="C238" s="272" t="s">
        <v>626</v>
      </c>
      <c r="D238" s="209"/>
      <c r="E238" s="209"/>
      <c r="F238" s="209"/>
      <c r="G238" s="209"/>
    </row>
    <row r="239" spans="1:7" ht="12.75" customHeight="1">
      <c r="A239" s="191" t="s">
        <v>732</v>
      </c>
      <c r="B239" s="88" t="s">
        <v>597</v>
      </c>
      <c r="C239" s="272" t="s">
        <v>619</v>
      </c>
      <c r="D239" s="209">
        <f>D240+D242+D243+D244</f>
        <v>0</v>
      </c>
      <c r="E239" s="209">
        <f>E240+E242+E243+E244</f>
        <v>100000</v>
      </c>
      <c r="F239" s="209">
        <f>F240+F242+F243+F244</f>
        <v>0</v>
      </c>
      <c r="G239" s="209">
        <f>G240+G242+G243+G244</f>
        <v>0</v>
      </c>
    </row>
    <row r="240" spans="1:7" ht="12.75">
      <c r="A240" s="191"/>
      <c r="B240" s="88"/>
      <c r="C240" s="272" t="s">
        <v>620</v>
      </c>
      <c r="D240" s="209">
        <f>'[1]Таблица 6'!D53</f>
        <v>0</v>
      </c>
      <c r="E240" s="209">
        <f>'[1]Таблица 6'!E53</f>
        <v>100000</v>
      </c>
      <c r="F240" s="209">
        <f>'[1]Таблица 6'!F53</f>
        <v>0</v>
      </c>
      <c r="G240" s="209">
        <f>'[1]Таблица 6'!G53</f>
        <v>0</v>
      </c>
    </row>
    <row r="241" spans="1:7" ht="12.75">
      <c r="A241" s="191"/>
      <c r="B241" s="88"/>
      <c r="C241" s="273" t="s">
        <v>700</v>
      </c>
      <c r="D241" s="209"/>
      <c r="E241" s="209"/>
      <c r="F241" s="209"/>
      <c r="G241" s="209"/>
    </row>
    <row r="242" spans="1:7" ht="12.75">
      <c r="A242" s="191"/>
      <c r="B242" s="88"/>
      <c r="C242" s="272" t="s">
        <v>627</v>
      </c>
      <c r="D242" s="209"/>
      <c r="E242" s="209"/>
      <c r="F242" s="209"/>
      <c r="G242" s="209"/>
    </row>
    <row r="243" spans="1:7" ht="12.75">
      <c r="A243" s="191"/>
      <c r="B243" s="88"/>
      <c r="C243" s="272" t="s">
        <v>701</v>
      </c>
      <c r="D243" s="209"/>
      <c r="E243" s="209"/>
      <c r="F243" s="209"/>
      <c r="G243" s="209"/>
    </row>
    <row r="244" spans="1:7" ht="12.75">
      <c r="A244" s="191"/>
      <c r="B244" s="88"/>
      <c r="C244" s="272" t="s">
        <v>625</v>
      </c>
      <c r="D244" s="209"/>
      <c r="E244" s="209"/>
      <c r="F244" s="209"/>
      <c r="G244" s="209"/>
    </row>
    <row r="245" spans="1:7" ht="12.75">
      <c r="A245" s="191"/>
      <c r="B245" s="88"/>
      <c r="C245" s="272" t="s">
        <v>626</v>
      </c>
      <c r="D245" s="209"/>
      <c r="E245" s="209"/>
      <c r="F245" s="209"/>
      <c r="G245" s="209"/>
    </row>
    <row r="246" spans="1:7" ht="12.75" customHeight="1">
      <c r="A246" s="191" t="s">
        <v>733</v>
      </c>
      <c r="B246" s="88" t="s">
        <v>598</v>
      </c>
      <c r="C246" s="272" t="s">
        <v>619</v>
      </c>
      <c r="D246" s="209">
        <f>D247+D249+D250+D251</f>
        <v>36000</v>
      </c>
      <c r="E246" s="209">
        <f>E247+E249+E250+E251</f>
        <v>0</v>
      </c>
      <c r="F246" s="209">
        <f>F247+F249+F250+F251</f>
        <v>0</v>
      </c>
      <c r="G246" s="209">
        <f>G247+G249+G250+G251</f>
        <v>0</v>
      </c>
    </row>
    <row r="247" spans="1:7" ht="12.75">
      <c r="A247" s="191"/>
      <c r="B247" s="88"/>
      <c r="C247" s="272" t="s">
        <v>620</v>
      </c>
      <c r="D247" s="209">
        <f>'[1]Таблица 6'!D54</f>
        <v>36000</v>
      </c>
      <c r="E247" s="209">
        <f>'[1]Таблица 6'!E54</f>
        <v>0</v>
      </c>
      <c r="F247" s="209">
        <f>'[1]Таблица 6'!F54</f>
        <v>0</v>
      </c>
      <c r="G247" s="209">
        <f>'[1]Таблица 6'!G54</f>
        <v>0</v>
      </c>
    </row>
    <row r="248" spans="1:7" ht="12.75">
      <c r="A248" s="191"/>
      <c r="B248" s="88"/>
      <c r="C248" s="273" t="s">
        <v>700</v>
      </c>
      <c r="D248" s="209"/>
      <c r="E248" s="209"/>
      <c r="F248" s="209"/>
      <c r="G248" s="209"/>
    </row>
    <row r="249" spans="1:7" ht="12.75">
      <c r="A249" s="191"/>
      <c r="B249" s="88"/>
      <c r="C249" s="272" t="s">
        <v>627</v>
      </c>
      <c r="D249" s="209"/>
      <c r="E249" s="209"/>
      <c r="F249" s="209"/>
      <c r="G249" s="209"/>
    </row>
    <row r="250" spans="1:7" ht="12.75">
      <c r="A250" s="191"/>
      <c r="B250" s="88"/>
      <c r="C250" s="272" t="s">
        <v>701</v>
      </c>
      <c r="D250" s="209"/>
      <c r="E250" s="209"/>
      <c r="F250" s="209"/>
      <c r="G250" s="209"/>
    </row>
    <row r="251" spans="1:7" ht="12.75">
      <c r="A251" s="191"/>
      <c r="B251" s="88"/>
      <c r="C251" s="272" t="s">
        <v>625</v>
      </c>
      <c r="D251" s="209"/>
      <c r="E251" s="209"/>
      <c r="F251" s="209"/>
      <c r="G251" s="209"/>
    </row>
    <row r="252" spans="1:7" ht="12.75">
      <c r="A252" s="191"/>
      <c r="B252" s="88"/>
      <c r="C252" s="272" t="s">
        <v>626</v>
      </c>
      <c r="D252" s="209"/>
      <c r="E252" s="209"/>
      <c r="F252" s="209"/>
      <c r="G252" s="209"/>
    </row>
    <row r="253" spans="1:7" ht="12.75" customHeight="1">
      <c r="A253" s="191" t="s">
        <v>734</v>
      </c>
      <c r="B253" s="88" t="s">
        <v>504</v>
      </c>
      <c r="C253" s="272" t="s">
        <v>619</v>
      </c>
      <c r="D253" s="209">
        <f>D254+D256+D257+D258</f>
        <v>80160.101</v>
      </c>
      <c r="E253" s="209">
        <f>E254+E256+E257+E258</f>
        <v>0</v>
      </c>
      <c r="F253" s="209">
        <f>F254+F256+F257+F258</f>
        <v>0</v>
      </c>
      <c r="G253" s="209">
        <f>G254+G256+G257+G258</f>
        <v>0</v>
      </c>
    </row>
    <row r="254" spans="1:7" ht="12.75">
      <c r="A254" s="191"/>
      <c r="B254" s="88"/>
      <c r="C254" s="272" t="s">
        <v>620</v>
      </c>
      <c r="D254" s="209">
        <f>'[1]Таблица 6'!D55</f>
        <v>80160.101</v>
      </c>
      <c r="E254" s="209">
        <f>'[1]Таблица 6'!E55</f>
        <v>0</v>
      </c>
      <c r="F254" s="209">
        <f>'[1]Таблица 6'!F55</f>
        <v>0</v>
      </c>
      <c r="G254" s="209">
        <f>'[1]Таблица 6'!G55</f>
        <v>0</v>
      </c>
    </row>
    <row r="255" spans="1:7" ht="12.75">
      <c r="A255" s="191"/>
      <c r="B255" s="88"/>
      <c r="C255" s="273" t="s">
        <v>700</v>
      </c>
      <c r="D255" s="209">
        <f>'[1]Таблица 6'!D55</f>
        <v>80160.101</v>
      </c>
      <c r="E255" s="209">
        <f>'[1]Таблица 6'!E55</f>
        <v>0</v>
      </c>
      <c r="F255" s="209">
        <f>'[1]Таблица 6'!F55</f>
        <v>0</v>
      </c>
      <c r="G255" s="209">
        <f>'[1]Таблица 6'!G55</f>
        <v>0</v>
      </c>
    </row>
    <row r="256" spans="1:7" ht="12.75">
      <c r="A256" s="191"/>
      <c r="B256" s="88"/>
      <c r="C256" s="272" t="s">
        <v>627</v>
      </c>
      <c r="D256" s="209"/>
      <c r="E256" s="209"/>
      <c r="F256" s="209"/>
      <c r="G256" s="209"/>
    </row>
    <row r="257" spans="1:7" ht="12.75">
      <c r="A257" s="191"/>
      <c r="B257" s="88"/>
      <c r="C257" s="272" t="s">
        <v>701</v>
      </c>
      <c r="D257" s="209"/>
      <c r="E257" s="209"/>
      <c r="F257" s="209"/>
      <c r="G257" s="209"/>
    </row>
    <row r="258" spans="1:7" ht="12.75">
      <c r="A258" s="191"/>
      <c r="B258" s="88"/>
      <c r="C258" s="272" t="s">
        <v>625</v>
      </c>
      <c r="D258" s="209"/>
      <c r="E258" s="209"/>
      <c r="F258" s="209"/>
      <c r="G258" s="209"/>
    </row>
    <row r="259" spans="1:7" ht="12.75">
      <c r="A259" s="191"/>
      <c r="B259" s="88"/>
      <c r="C259" s="272" t="s">
        <v>626</v>
      </c>
      <c r="D259" s="209"/>
      <c r="E259" s="209"/>
      <c r="F259" s="209"/>
      <c r="G259" s="209"/>
    </row>
    <row r="260" spans="1:7" ht="12.75" customHeight="1">
      <c r="A260" s="191" t="s">
        <v>735</v>
      </c>
      <c r="B260" s="88" t="s">
        <v>507</v>
      </c>
      <c r="C260" s="272" t="s">
        <v>619</v>
      </c>
      <c r="D260" s="209">
        <f>D261+D263+D264+D265</f>
        <v>31348</v>
      </c>
      <c r="E260" s="209">
        <f>E261+E263+E264+E265</f>
        <v>32375.5</v>
      </c>
      <c r="F260" s="209">
        <f>F261+F263+F264+F265</f>
        <v>33521.6</v>
      </c>
      <c r="G260" s="209">
        <f>G261+G263+G264+G265</f>
        <v>34639.7</v>
      </c>
    </row>
    <row r="261" spans="1:7" ht="12.75">
      <c r="A261" s="191"/>
      <c r="B261" s="88"/>
      <c r="C261" s="272" t="s">
        <v>620</v>
      </c>
      <c r="D261" s="209">
        <f>'[1]Таблица 6'!D57</f>
        <v>31348</v>
      </c>
      <c r="E261" s="209">
        <f>'[1]Таблица 6'!E57</f>
        <v>32375.5</v>
      </c>
      <c r="F261" s="209">
        <f>'[1]Таблица 6'!F57</f>
        <v>33521.6</v>
      </c>
      <c r="G261" s="209">
        <f>'[1]Таблица 6'!G57</f>
        <v>34639.7</v>
      </c>
    </row>
    <row r="262" spans="1:7" ht="12.75">
      <c r="A262" s="191"/>
      <c r="B262" s="88"/>
      <c r="C262" s="273" t="s">
        <v>700</v>
      </c>
      <c r="D262" s="209"/>
      <c r="E262" s="209"/>
      <c r="F262" s="209"/>
      <c r="G262" s="209"/>
    </row>
    <row r="263" spans="1:7" ht="12.75">
      <c r="A263" s="191"/>
      <c r="B263" s="88"/>
      <c r="C263" s="272" t="s">
        <v>627</v>
      </c>
      <c r="D263" s="209"/>
      <c r="E263" s="209"/>
      <c r="F263" s="209"/>
      <c r="G263" s="209"/>
    </row>
    <row r="264" spans="1:7" ht="12.75">
      <c r="A264" s="191"/>
      <c r="B264" s="88"/>
      <c r="C264" s="272" t="s">
        <v>701</v>
      </c>
      <c r="D264" s="209"/>
      <c r="E264" s="209"/>
      <c r="F264" s="209"/>
      <c r="G264" s="209"/>
    </row>
    <row r="265" spans="1:7" ht="12.75">
      <c r="A265" s="191"/>
      <c r="B265" s="88"/>
      <c r="C265" s="272" t="s">
        <v>625</v>
      </c>
      <c r="D265" s="209"/>
      <c r="E265" s="209"/>
      <c r="F265" s="209"/>
      <c r="G265" s="209"/>
    </row>
    <row r="266" spans="1:7" ht="12.75">
      <c r="A266" s="191"/>
      <c r="B266" s="88"/>
      <c r="C266" s="272" t="s">
        <v>626</v>
      </c>
      <c r="D266" s="209"/>
      <c r="E266" s="209"/>
      <c r="F266" s="209"/>
      <c r="G266" s="209"/>
    </row>
    <row r="267" spans="1:7" ht="15.75" customHeight="1">
      <c r="A267" s="191" t="s">
        <v>736</v>
      </c>
      <c r="B267" s="105" t="s">
        <v>737</v>
      </c>
      <c r="C267" s="272" t="s">
        <v>619</v>
      </c>
      <c r="D267" s="209">
        <f>D268+D270+D271+D272</f>
        <v>52756.7</v>
      </c>
      <c r="E267" s="209">
        <f>E268+E270+E271+E272</f>
        <v>54443.7</v>
      </c>
      <c r="F267" s="209">
        <f>F268+F270+F271+F272</f>
        <v>57686.4</v>
      </c>
      <c r="G267" s="209">
        <f>G268+G270+G271+G272</f>
        <v>60849</v>
      </c>
    </row>
    <row r="268" spans="1:7" ht="21.75" customHeight="1">
      <c r="A268" s="191"/>
      <c r="B268" s="105"/>
      <c r="C268" s="272" t="s">
        <v>620</v>
      </c>
      <c r="D268" s="209">
        <f>'[1]Таблица 6'!D58</f>
        <v>52756.7</v>
      </c>
      <c r="E268" s="209">
        <f>'[1]Таблица 6'!E58</f>
        <v>54443.7</v>
      </c>
      <c r="F268" s="209">
        <f>'[1]Таблица 6'!F58</f>
        <v>57686.4</v>
      </c>
      <c r="G268" s="209">
        <f>'[1]Таблица 6'!G58</f>
        <v>60849</v>
      </c>
    </row>
    <row r="269" spans="1:7" ht="24.75" customHeight="1">
      <c r="A269" s="191"/>
      <c r="B269" s="105"/>
      <c r="C269" s="273" t="s">
        <v>700</v>
      </c>
      <c r="D269" s="209"/>
      <c r="E269" s="209"/>
      <c r="F269" s="209"/>
      <c r="G269" s="209"/>
    </row>
    <row r="270" spans="1:7" ht="17.25" customHeight="1">
      <c r="A270" s="191"/>
      <c r="B270" s="105"/>
      <c r="C270" s="272" t="s">
        <v>627</v>
      </c>
      <c r="D270" s="209"/>
      <c r="E270" s="209"/>
      <c r="F270" s="209"/>
      <c r="G270" s="209"/>
    </row>
    <row r="271" spans="1:7" ht="17.25" customHeight="1">
      <c r="A271" s="191"/>
      <c r="B271" s="105"/>
      <c r="C271" s="272" t="s">
        <v>701</v>
      </c>
      <c r="D271" s="209"/>
      <c r="E271" s="209"/>
      <c r="F271" s="209"/>
      <c r="G271" s="209"/>
    </row>
    <row r="272" spans="1:7" ht="15" customHeight="1">
      <c r="A272" s="191"/>
      <c r="B272" s="105"/>
      <c r="C272" s="272" t="s">
        <v>625</v>
      </c>
      <c r="D272" s="209"/>
      <c r="E272" s="209"/>
      <c r="F272" s="209"/>
      <c r="G272" s="209"/>
    </row>
    <row r="273" spans="1:7" ht="29.25" customHeight="1">
      <c r="A273" s="191"/>
      <c r="B273" s="105"/>
      <c r="C273" s="272" t="s">
        <v>626</v>
      </c>
      <c r="D273" s="209"/>
      <c r="E273" s="209"/>
      <c r="F273" s="209"/>
      <c r="G273" s="209"/>
    </row>
    <row r="274" spans="1:7" ht="12.75" customHeight="1">
      <c r="A274" s="191" t="s">
        <v>738</v>
      </c>
      <c r="B274" s="88" t="s">
        <v>511</v>
      </c>
      <c r="C274" s="272" t="s">
        <v>619</v>
      </c>
      <c r="D274" s="209">
        <f>D275+D277+D278+D279</f>
        <v>206630.4</v>
      </c>
      <c r="E274" s="209">
        <f>E275+E277+E278+E279</f>
        <v>183262.7</v>
      </c>
      <c r="F274" s="209">
        <f>F275+F277+F278+F279</f>
        <v>199176.26</v>
      </c>
      <c r="G274" s="209">
        <f>G275+G277+G278+G279</f>
        <v>210096.09</v>
      </c>
    </row>
    <row r="275" spans="1:7" ht="12.75">
      <c r="A275" s="191"/>
      <c r="B275" s="88"/>
      <c r="C275" s="272" t="s">
        <v>620</v>
      </c>
      <c r="D275" s="209">
        <f>'[1]Таблица 6'!D59</f>
        <v>206630.4</v>
      </c>
      <c r="E275" s="209">
        <f>'[1]Таблица 6'!E59</f>
        <v>183262.7</v>
      </c>
      <c r="F275" s="209">
        <f>'[1]Таблица 6'!F59</f>
        <v>199176.26</v>
      </c>
      <c r="G275" s="209">
        <f>'[1]Таблица 6'!G59</f>
        <v>210096.09</v>
      </c>
    </row>
    <row r="276" spans="1:7" ht="12.75">
      <c r="A276" s="191"/>
      <c r="B276" s="88"/>
      <c r="C276" s="273" t="s">
        <v>700</v>
      </c>
      <c r="D276" s="209">
        <f>'[1]Таблица 6'!D60</f>
        <v>6788</v>
      </c>
      <c r="E276" s="209">
        <f>'[1]Таблица 6'!E60</f>
        <v>0</v>
      </c>
      <c r="F276" s="209">
        <f>'[1]Таблица 6'!F60</f>
        <v>0</v>
      </c>
      <c r="G276" s="209">
        <f>'[1]Таблица 6'!G60</f>
        <v>0</v>
      </c>
    </row>
    <row r="277" spans="1:7" ht="12.75">
      <c r="A277" s="191"/>
      <c r="B277" s="88"/>
      <c r="C277" s="272" t="s">
        <v>627</v>
      </c>
      <c r="D277" s="209"/>
      <c r="E277" s="209"/>
      <c r="F277" s="209"/>
      <c r="G277" s="209"/>
    </row>
    <row r="278" spans="1:7" ht="12.75">
      <c r="A278" s="191"/>
      <c r="B278" s="88"/>
      <c r="C278" s="272" t="s">
        <v>701</v>
      </c>
      <c r="D278" s="209"/>
      <c r="E278" s="209"/>
      <c r="F278" s="209"/>
      <c r="G278" s="209"/>
    </row>
    <row r="279" spans="1:7" ht="12.75">
      <c r="A279" s="191"/>
      <c r="B279" s="88"/>
      <c r="C279" s="272" t="s">
        <v>625</v>
      </c>
      <c r="D279" s="209"/>
      <c r="E279" s="209"/>
      <c r="F279" s="209"/>
      <c r="G279" s="209"/>
    </row>
    <row r="280" spans="1:7" ht="12.75">
      <c r="A280" s="191"/>
      <c r="B280" s="88"/>
      <c r="C280" s="272" t="s">
        <v>626</v>
      </c>
      <c r="D280" s="209"/>
      <c r="E280" s="209"/>
      <c r="F280" s="209"/>
      <c r="G280" s="209"/>
    </row>
    <row r="281" spans="1:7" ht="12.75" customHeight="1">
      <c r="A281" s="191" t="s">
        <v>512</v>
      </c>
      <c r="B281" s="88" t="s">
        <v>513</v>
      </c>
      <c r="C281" s="272" t="s">
        <v>619</v>
      </c>
      <c r="D281" s="209">
        <f>D282+D284+D285+D286</f>
        <v>627782.5</v>
      </c>
      <c r="E281" s="209">
        <f>E282+E284+E285+E286</f>
        <v>664843.5</v>
      </c>
      <c r="F281" s="209">
        <f>F282+F284+F285+F286</f>
        <v>700854.3</v>
      </c>
      <c r="G281" s="209">
        <f>G282+G284+G285+G286</f>
        <v>737464.3</v>
      </c>
    </row>
    <row r="282" spans="1:7" ht="12.75">
      <c r="A282" s="191"/>
      <c r="B282" s="88"/>
      <c r="C282" s="272" t="s">
        <v>620</v>
      </c>
      <c r="D282" s="209">
        <f>'[1]Таблица 6'!D61</f>
        <v>627782.5</v>
      </c>
      <c r="E282" s="209">
        <f>'[1]Таблица 6'!E61</f>
        <v>664843.5</v>
      </c>
      <c r="F282" s="209">
        <f>'[1]Таблица 6'!F61</f>
        <v>700854.3</v>
      </c>
      <c r="G282" s="209">
        <f>'[1]Таблица 6'!G61</f>
        <v>737464.3</v>
      </c>
    </row>
    <row r="283" spans="1:7" ht="12.75">
      <c r="A283" s="191"/>
      <c r="B283" s="88"/>
      <c r="C283" s="273" t="s">
        <v>700</v>
      </c>
      <c r="D283" s="209"/>
      <c r="E283" s="209"/>
      <c r="F283" s="209"/>
      <c r="G283" s="209"/>
    </row>
    <row r="284" spans="1:7" ht="12.75">
      <c r="A284" s="191"/>
      <c r="B284" s="88"/>
      <c r="C284" s="272" t="s">
        <v>627</v>
      </c>
      <c r="D284" s="209"/>
      <c r="E284" s="209"/>
      <c r="F284" s="209"/>
      <c r="G284" s="209"/>
    </row>
    <row r="285" spans="1:7" ht="12.75">
      <c r="A285" s="191"/>
      <c r="B285" s="88"/>
      <c r="C285" s="272" t="s">
        <v>701</v>
      </c>
      <c r="D285" s="209"/>
      <c r="E285" s="209"/>
      <c r="F285" s="209"/>
      <c r="G285" s="209"/>
    </row>
    <row r="286" spans="1:7" ht="12.75">
      <c r="A286" s="191"/>
      <c r="B286" s="88"/>
      <c r="C286" s="272" t="s">
        <v>625</v>
      </c>
      <c r="D286" s="209"/>
      <c r="E286" s="209"/>
      <c r="F286" s="209"/>
      <c r="G286" s="209"/>
    </row>
    <row r="287" spans="1:7" ht="12.75">
      <c r="A287" s="191"/>
      <c r="B287" s="88"/>
      <c r="C287" s="272" t="s">
        <v>626</v>
      </c>
      <c r="D287" s="209"/>
      <c r="E287" s="209"/>
      <c r="F287" s="209"/>
      <c r="G287" s="209"/>
    </row>
    <row r="288" spans="1:7" ht="12.75" customHeight="1">
      <c r="A288" s="191" t="s">
        <v>667</v>
      </c>
      <c r="B288" s="105" t="s">
        <v>515</v>
      </c>
      <c r="C288" s="272" t="s">
        <v>619</v>
      </c>
      <c r="D288" s="209">
        <f>D289+D291+D292+D293</f>
        <v>378746.5</v>
      </c>
      <c r="E288" s="209">
        <f>E289+E291+E292+E293</f>
        <v>379938.3</v>
      </c>
      <c r="F288" s="209">
        <f>F289+F291+F292+F293</f>
        <v>402567.6</v>
      </c>
      <c r="G288" s="209">
        <f>G289+G291+G292+G293</f>
        <v>424638.3</v>
      </c>
    </row>
    <row r="289" spans="1:7" ht="12.75">
      <c r="A289" s="191"/>
      <c r="B289" s="105"/>
      <c r="C289" s="272" t="s">
        <v>620</v>
      </c>
      <c r="D289" s="209">
        <f>'[1]Таблица 6'!D62</f>
        <v>378746.5</v>
      </c>
      <c r="E289" s="209">
        <f>'[1]Таблица 6'!E62</f>
        <v>379938.3</v>
      </c>
      <c r="F289" s="209">
        <f>'[1]Таблица 6'!F62</f>
        <v>402567.6</v>
      </c>
      <c r="G289" s="209">
        <f>'[1]Таблица 6'!G62</f>
        <v>424638.3</v>
      </c>
    </row>
    <row r="290" spans="1:7" ht="12.75">
      <c r="A290" s="191"/>
      <c r="B290" s="105"/>
      <c r="C290" s="273" t="s">
        <v>700</v>
      </c>
      <c r="D290" s="209">
        <f>'[1]Таблица 6'!D63</f>
        <v>284059.9</v>
      </c>
      <c r="E290" s="209">
        <f>'[1]Таблица 6'!E63</f>
        <v>287995.3</v>
      </c>
      <c r="F290" s="209">
        <f>'[1]Таблица 6'!F63</f>
        <v>305236</v>
      </c>
      <c r="G290" s="209">
        <f>'[1]Таблица 6'!G63</f>
        <v>321893</v>
      </c>
    </row>
    <row r="291" spans="1:7" ht="12.75">
      <c r="A291" s="191"/>
      <c r="B291" s="105"/>
      <c r="C291" s="272" t="s">
        <v>627</v>
      </c>
      <c r="D291" s="209"/>
      <c r="E291" s="209"/>
      <c r="F291" s="209"/>
      <c r="G291" s="209"/>
    </row>
    <row r="292" spans="1:7" ht="12.75">
      <c r="A292" s="191"/>
      <c r="B292" s="105"/>
      <c r="C292" s="272" t="s">
        <v>701</v>
      </c>
      <c r="D292" s="209"/>
      <c r="E292" s="209"/>
      <c r="F292" s="209"/>
      <c r="G292" s="209"/>
    </row>
    <row r="293" spans="1:7" ht="12.75">
      <c r="A293" s="191"/>
      <c r="B293" s="105"/>
      <c r="C293" s="272" t="s">
        <v>625</v>
      </c>
      <c r="D293" s="209"/>
      <c r="E293" s="209"/>
      <c r="F293" s="209"/>
      <c r="G293" s="209"/>
    </row>
    <row r="294" spans="1:7" ht="12.75">
      <c r="A294" s="191"/>
      <c r="B294" s="105"/>
      <c r="C294" s="272" t="s">
        <v>626</v>
      </c>
      <c r="D294" s="209"/>
      <c r="E294" s="209"/>
      <c r="F294" s="209"/>
      <c r="G294" s="209"/>
    </row>
    <row r="295" spans="1:7" ht="12.75" customHeight="1">
      <c r="A295" s="191" t="s">
        <v>516</v>
      </c>
      <c r="B295" s="105" t="s">
        <v>517</v>
      </c>
      <c r="C295" s="272" t="s">
        <v>619</v>
      </c>
      <c r="D295" s="209">
        <f>D296+D298+D299+D300</f>
        <v>50</v>
      </c>
      <c r="E295" s="209">
        <f>E296+E298+E299+E300</f>
        <v>50</v>
      </c>
      <c r="F295" s="209">
        <f>F296+F298+F299+F300</f>
        <v>50</v>
      </c>
      <c r="G295" s="209">
        <f>G296+G298+G299+G300</f>
        <v>50</v>
      </c>
    </row>
    <row r="296" spans="1:7" ht="12.75">
      <c r="A296" s="191"/>
      <c r="B296" s="105"/>
      <c r="C296" s="272" t="s">
        <v>620</v>
      </c>
      <c r="D296" s="209">
        <f>'[1]Таблица 6'!D64</f>
        <v>50</v>
      </c>
      <c r="E296" s="209">
        <f>'[1]Таблица 6'!E64</f>
        <v>50</v>
      </c>
      <c r="F296" s="209">
        <f>'[1]Таблица 6'!F64</f>
        <v>50</v>
      </c>
      <c r="G296" s="209">
        <f>'[1]Таблица 6'!G64</f>
        <v>50</v>
      </c>
    </row>
    <row r="297" spans="1:7" ht="12.75">
      <c r="A297" s="191"/>
      <c r="B297" s="105"/>
      <c r="C297" s="273" t="s">
        <v>700</v>
      </c>
      <c r="D297" s="209"/>
      <c r="E297" s="209"/>
      <c r="F297" s="209"/>
      <c r="G297" s="209"/>
    </row>
    <row r="298" spans="1:7" ht="12.75">
      <c r="A298" s="191"/>
      <c r="B298" s="105"/>
      <c r="C298" s="272" t="s">
        <v>627</v>
      </c>
      <c r="D298" s="209"/>
      <c r="E298" s="209"/>
      <c r="F298" s="209"/>
      <c r="G298" s="209"/>
    </row>
    <row r="299" spans="1:7" ht="12.75">
      <c r="A299" s="191"/>
      <c r="B299" s="105"/>
      <c r="C299" s="272" t="s">
        <v>701</v>
      </c>
      <c r="D299" s="209"/>
      <c r="E299" s="209"/>
      <c r="F299" s="209"/>
      <c r="G299" s="209"/>
    </row>
    <row r="300" spans="1:7" ht="12.75">
      <c r="A300" s="191"/>
      <c r="B300" s="105"/>
      <c r="C300" s="272" t="s">
        <v>625</v>
      </c>
      <c r="D300" s="209"/>
      <c r="E300" s="209"/>
      <c r="F300" s="209"/>
      <c r="G300" s="209"/>
    </row>
    <row r="301" spans="1:7" ht="12.75">
      <c r="A301" s="191"/>
      <c r="B301" s="105"/>
      <c r="C301" s="272" t="s">
        <v>626</v>
      </c>
      <c r="D301" s="209"/>
      <c r="E301" s="209"/>
      <c r="F301" s="209"/>
      <c r="G301" s="209"/>
    </row>
    <row r="302" spans="1:7" ht="12.75" customHeight="1">
      <c r="A302" s="191" t="s">
        <v>518</v>
      </c>
      <c r="B302" s="88" t="s">
        <v>519</v>
      </c>
      <c r="C302" s="272" t="s">
        <v>619</v>
      </c>
      <c r="D302" s="209">
        <f>D303+D305+D306+D307</f>
        <v>436.5</v>
      </c>
      <c r="E302" s="209">
        <f>E303+E305+E306+E307</f>
        <v>0</v>
      </c>
      <c r="F302" s="209">
        <f>F303+F305+F306+F307</f>
        <v>0</v>
      </c>
      <c r="G302" s="209">
        <f>G303+G305+G306+G307</f>
        <v>0</v>
      </c>
    </row>
    <row r="303" spans="1:7" ht="12.75">
      <c r="A303" s="191"/>
      <c r="B303" s="88"/>
      <c r="C303" s="272" t="s">
        <v>620</v>
      </c>
      <c r="D303" s="209">
        <f>'[1]Таблица 6'!D65</f>
        <v>436.5</v>
      </c>
      <c r="E303" s="209">
        <f>'[1]Таблица 6'!E65</f>
        <v>0</v>
      </c>
      <c r="F303" s="209">
        <f>'[1]Таблица 6'!F65</f>
        <v>0</v>
      </c>
      <c r="G303" s="209">
        <f>'[1]Таблица 6'!G65</f>
        <v>0</v>
      </c>
    </row>
    <row r="304" spans="1:7" ht="12.75">
      <c r="A304" s="191"/>
      <c r="B304" s="88"/>
      <c r="C304" s="273" t="s">
        <v>700</v>
      </c>
      <c r="D304" s="209">
        <f>'[1]Таблица 6'!D65</f>
        <v>436.5</v>
      </c>
      <c r="E304" s="209">
        <f>'[1]Таблица 6'!E65</f>
        <v>0</v>
      </c>
      <c r="F304" s="209">
        <f>'[1]Таблица 6'!F65</f>
        <v>0</v>
      </c>
      <c r="G304" s="209">
        <f>'[1]Таблица 6'!G65</f>
        <v>0</v>
      </c>
    </row>
    <row r="305" spans="1:7" ht="12.75">
      <c r="A305" s="191"/>
      <c r="B305" s="88"/>
      <c r="C305" s="272" t="s">
        <v>627</v>
      </c>
      <c r="D305" s="209"/>
      <c r="E305" s="209"/>
      <c r="F305" s="209"/>
      <c r="G305" s="209"/>
    </row>
    <row r="306" spans="1:7" ht="12.75">
      <c r="A306" s="191"/>
      <c r="B306" s="88"/>
      <c r="C306" s="272" t="s">
        <v>701</v>
      </c>
      <c r="D306" s="209"/>
      <c r="E306" s="209"/>
      <c r="F306" s="209"/>
      <c r="G306" s="209"/>
    </row>
    <row r="307" spans="1:7" ht="12.75">
      <c r="A307" s="191"/>
      <c r="B307" s="88"/>
      <c r="C307" s="272" t="s">
        <v>625</v>
      </c>
      <c r="D307" s="209"/>
      <c r="E307" s="209"/>
      <c r="F307" s="209"/>
      <c r="G307" s="209"/>
    </row>
    <row r="308" spans="1:7" ht="12.75">
      <c r="A308" s="191"/>
      <c r="B308" s="88"/>
      <c r="C308" s="272" t="s">
        <v>626</v>
      </c>
      <c r="D308" s="209"/>
      <c r="E308" s="209"/>
      <c r="F308" s="209"/>
      <c r="G308" s="209"/>
    </row>
    <row r="309" spans="1:7" ht="12.75" customHeight="1">
      <c r="A309" s="191" t="s">
        <v>739</v>
      </c>
      <c r="B309" s="88" t="s">
        <v>603</v>
      </c>
      <c r="C309" s="272" t="s">
        <v>619</v>
      </c>
      <c r="D309" s="209">
        <f>D310+D312+D313+D314</f>
        <v>0</v>
      </c>
      <c r="E309" s="209">
        <f>E310+E312+E313+E314</f>
        <v>72991</v>
      </c>
      <c r="F309" s="209">
        <f>F310+F312+F313+F314</f>
        <v>107937.6</v>
      </c>
      <c r="G309" s="209">
        <f>G310+G312+G313+G314</f>
        <v>145026</v>
      </c>
    </row>
    <row r="310" spans="1:7" ht="12.75">
      <c r="A310" s="191"/>
      <c r="B310" s="88"/>
      <c r="C310" s="272" t="s">
        <v>620</v>
      </c>
      <c r="D310" s="209">
        <f>'[1]Таблица 6'!D66</f>
        <v>0</v>
      </c>
      <c r="E310" s="209">
        <f>'[1]Таблица 6'!E66</f>
        <v>72991</v>
      </c>
      <c r="F310" s="209">
        <f>'[1]Таблица 6'!F66</f>
        <v>107937.6</v>
      </c>
      <c r="G310" s="209">
        <f>'[1]Таблица 6'!G66</f>
        <v>145026</v>
      </c>
    </row>
    <row r="311" spans="1:7" ht="12.75">
      <c r="A311" s="191"/>
      <c r="B311" s="88"/>
      <c r="C311" s="273" t="s">
        <v>700</v>
      </c>
      <c r="D311" s="209">
        <f>'[1]Таблица 6'!D67</f>
        <v>0</v>
      </c>
      <c r="E311" s="209">
        <f>'[1]Таблица 6'!E67</f>
        <v>38174.3</v>
      </c>
      <c r="F311" s="209">
        <f>'[1]Таблица 6'!F67</f>
        <v>47444.2</v>
      </c>
      <c r="G311" s="209">
        <f>'[1]Таблица 6'!G67</f>
        <v>56629.8</v>
      </c>
    </row>
    <row r="312" spans="1:7" ht="12.75">
      <c r="A312" s="191"/>
      <c r="B312" s="88"/>
      <c r="C312" s="272" t="s">
        <v>627</v>
      </c>
      <c r="D312" s="209"/>
      <c r="E312" s="209"/>
      <c r="F312" s="209"/>
      <c r="G312" s="209"/>
    </row>
    <row r="313" spans="1:7" ht="12.75">
      <c r="A313" s="191"/>
      <c r="B313" s="88"/>
      <c r="C313" s="272" t="s">
        <v>701</v>
      </c>
      <c r="D313" s="209"/>
      <c r="E313" s="209"/>
      <c r="F313" s="209"/>
      <c r="G313" s="209"/>
    </row>
    <row r="314" spans="1:7" ht="12.75">
      <c r="A314" s="191"/>
      <c r="B314" s="88"/>
      <c r="C314" s="272" t="s">
        <v>625</v>
      </c>
      <c r="D314" s="209"/>
      <c r="E314" s="209"/>
      <c r="F314" s="209"/>
      <c r="G314" s="209"/>
    </row>
    <row r="315" spans="1:7" ht="12.75">
      <c r="A315" s="191"/>
      <c r="B315" s="88"/>
      <c r="C315" s="272" t="s">
        <v>626</v>
      </c>
      <c r="D315" s="209"/>
      <c r="E315" s="209"/>
      <c r="F315" s="209"/>
      <c r="G315" s="209"/>
    </row>
    <row r="316" spans="1:7" ht="12.75" customHeight="1">
      <c r="A316" s="191" t="s">
        <v>520</v>
      </c>
      <c r="B316" s="77" t="s">
        <v>521</v>
      </c>
      <c r="C316" s="272" t="s">
        <v>619</v>
      </c>
      <c r="D316" s="209">
        <f>D317+D319+D320+D321</f>
        <v>0</v>
      </c>
      <c r="E316" s="209">
        <f>E317+E319+E320+E321</f>
        <v>0</v>
      </c>
      <c r="F316" s="209">
        <f>F317+F319+F320+F321</f>
        <v>0</v>
      </c>
      <c r="G316" s="209">
        <f>G317+G319+G320+G321</f>
        <v>0</v>
      </c>
    </row>
    <row r="317" spans="1:7" ht="12.75">
      <c r="A317" s="191"/>
      <c r="B317" s="77"/>
      <c r="C317" s="272" t="s">
        <v>620</v>
      </c>
      <c r="D317" s="209"/>
      <c r="E317" s="209"/>
      <c r="F317" s="209"/>
      <c r="G317" s="209"/>
    </row>
    <row r="318" spans="1:7" ht="12.75">
      <c r="A318" s="191"/>
      <c r="B318" s="77"/>
      <c r="C318" s="273" t="s">
        <v>700</v>
      </c>
      <c r="D318" s="209"/>
      <c r="E318" s="209"/>
      <c r="F318" s="209"/>
      <c r="G318" s="209"/>
    </row>
    <row r="319" spans="1:7" ht="12.75">
      <c r="A319" s="191"/>
      <c r="B319" s="77"/>
      <c r="C319" s="272" t="s">
        <v>627</v>
      </c>
      <c r="D319" s="209"/>
      <c r="E319" s="209"/>
      <c r="F319" s="209"/>
      <c r="G319" s="209"/>
    </row>
    <row r="320" spans="1:7" ht="12.75">
      <c r="A320" s="191"/>
      <c r="B320" s="77"/>
      <c r="C320" s="272" t="s">
        <v>701</v>
      </c>
      <c r="D320" s="209"/>
      <c r="E320" s="209"/>
      <c r="F320" s="209"/>
      <c r="G320" s="209"/>
    </row>
    <row r="321" spans="1:7" ht="12.75">
      <c r="A321" s="191"/>
      <c r="B321" s="77"/>
      <c r="C321" s="272" t="s">
        <v>625</v>
      </c>
      <c r="D321" s="209"/>
      <c r="E321" s="209"/>
      <c r="F321" s="209"/>
      <c r="G321" s="209"/>
    </row>
    <row r="322" spans="1:7" ht="12.75">
      <c r="A322" s="191"/>
      <c r="B322" s="77"/>
      <c r="C322" s="272" t="s">
        <v>626</v>
      </c>
      <c r="D322" s="209"/>
      <c r="E322" s="209"/>
      <c r="F322" s="209"/>
      <c r="G322" s="209"/>
    </row>
    <row r="323" spans="1:7" ht="12.75" customHeight="1">
      <c r="A323" s="191" t="s">
        <v>522</v>
      </c>
      <c r="B323" s="77" t="s">
        <v>523</v>
      </c>
      <c r="C323" s="272" t="s">
        <v>619</v>
      </c>
      <c r="D323" s="209">
        <f>D324+D326+D327+D328</f>
        <v>0</v>
      </c>
      <c r="E323" s="209">
        <f>E324+E326+E327+E328</f>
        <v>0</v>
      </c>
      <c r="F323" s="209">
        <f>F324+F326+F327+F328</f>
        <v>0</v>
      </c>
      <c r="G323" s="209">
        <f>G324+G326+G327+G328</f>
        <v>0</v>
      </c>
    </row>
    <row r="324" spans="1:7" ht="12.75">
      <c r="A324" s="191"/>
      <c r="B324" s="77"/>
      <c r="C324" s="272" t="s">
        <v>620</v>
      </c>
      <c r="D324" s="209"/>
      <c r="E324" s="209"/>
      <c r="F324" s="209"/>
      <c r="G324" s="209"/>
    </row>
    <row r="325" spans="1:7" ht="12.75">
      <c r="A325" s="191"/>
      <c r="B325" s="77"/>
      <c r="C325" s="273" t="s">
        <v>700</v>
      </c>
      <c r="D325" s="209"/>
      <c r="E325" s="209"/>
      <c r="F325" s="209"/>
      <c r="G325" s="209"/>
    </row>
    <row r="326" spans="1:7" ht="12.75">
      <c r="A326" s="191"/>
      <c r="B326" s="77"/>
      <c r="C326" s="272" t="s">
        <v>627</v>
      </c>
      <c r="D326" s="209"/>
      <c r="E326" s="209"/>
      <c r="F326" s="209"/>
      <c r="G326" s="209"/>
    </row>
    <row r="327" spans="1:7" ht="12.75">
      <c r="A327" s="191"/>
      <c r="B327" s="77"/>
      <c r="C327" s="272" t="s">
        <v>701</v>
      </c>
      <c r="D327" s="209"/>
      <c r="E327" s="209"/>
      <c r="F327" s="209"/>
      <c r="G327" s="209"/>
    </row>
    <row r="328" spans="1:7" ht="12.75">
      <c r="A328" s="191"/>
      <c r="B328" s="77"/>
      <c r="C328" s="272" t="s">
        <v>625</v>
      </c>
      <c r="D328" s="209"/>
      <c r="E328" s="209"/>
      <c r="F328" s="209"/>
      <c r="G328" s="209"/>
    </row>
    <row r="329" spans="1:7" ht="12.75">
      <c r="A329" s="191"/>
      <c r="B329" s="77"/>
      <c r="C329" s="272" t="s">
        <v>626</v>
      </c>
      <c r="D329" s="209"/>
      <c r="E329" s="209"/>
      <c r="F329" s="209"/>
      <c r="G329" s="209"/>
    </row>
    <row r="330" spans="1:7" ht="12.75" customHeight="1">
      <c r="A330" s="191" t="s">
        <v>524</v>
      </c>
      <c r="B330" s="77" t="s">
        <v>525</v>
      </c>
      <c r="C330" s="272" t="s">
        <v>619</v>
      </c>
      <c r="D330" s="209">
        <f>D331+D333+D334+D335</f>
        <v>0</v>
      </c>
      <c r="E330" s="209">
        <f>E331+E333+E334+E335</f>
        <v>0</v>
      </c>
      <c r="F330" s="209">
        <f>F331+F333+F334+F335</f>
        <v>0</v>
      </c>
      <c r="G330" s="209">
        <f>G331+G333+G334+G335</f>
        <v>0</v>
      </c>
    </row>
    <row r="331" spans="1:7" ht="12.75">
      <c r="A331" s="191"/>
      <c r="B331" s="77"/>
      <c r="C331" s="272" t="s">
        <v>620</v>
      </c>
      <c r="D331" s="209"/>
      <c r="E331" s="209"/>
      <c r="F331" s="209"/>
      <c r="G331" s="209"/>
    </row>
    <row r="332" spans="1:7" ht="12.75">
      <c r="A332" s="191"/>
      <c r="B332" s="77"/>
      <c r="C332" s="273" t="s">
        <v>700</v>
      </c>
      <c r="D332" s="209"/>
      <c r="E332" s="209"/>
      <c r="F332" s="209"/>
      <c r="G332" s="209"/>
    </row>
    <row r="333" spans="1:7" ht="12.75">
      <c r="A333" s="191"/>
      <c r="B333" s="77"/>
      <c r="C333" s="272" t="s">
        <v>627</v>
      </c>
      <c r="D333" s="209"/>
      <c r="E333" s="209"/>
      <c r="F333" s="209"/>
      <c r="G333" s="209"/>
    </row>
    <row r="334" spans="1:7" ht="12.75">
      <c r="A334" s="191"/>
      <c r="B334" s="77"/>
      <c r="C334" s="272" t="s">
        <v>701</v>
      </c>
      <c r="D334" s="209"/>
      <c r="E334" s="209"/>
      <c r="F334" s="209"/>
      <c r="G334" s="209"/>
    </row>
    <row r="335" spans="1:7" ht="12.75">
      <c r="A335" s="191"/>
      <c r="B335" s="77"/>
      <c r="C335" s="272" t="s">
        <v>625</v>
      </c>
      <c r="D335" s="209"/>
      <c r="E335" s="209"/>
      <c r="F335" s="209"/>
      <c r="G335" s="209"/>
    </row>
    <row r="336" spans="1:7" ht="12.75">
      <c r="A336" s="191"/>
      <c r="B336" s="77"/>
      <c r="C336" s="272" t="s">
        <v>626</v>
      </c>
      <c r="D336" s="209"/>
      <c r="E336" s="209"/>
      <c r="F336" s="209"/>
      <c r="G336" s="209"/>
    </row>
    <row r="337" spans="1:7" ht="12.75" customHeight="1">
      <c r="A337" s="191" t="s">
        <v>526</v>
      </c>
      <c r="B337" s="77" t="s">
        <v>527</v>
      </c>
      <c r="C337" s="272" t="s">
        <v>619</v>
      </c>
      <c r="D337" s="209">
        <f>D338+D340+D341+D342</f>
        <v>0</v>
      </c>
      <c r="E337" s="209">
        <f>E338+E340+E341+E342</f>
        <v>0</v>
      </c>
      <c r="F337" s="209">
        <f>F338+F340+F341+F342</f>
        <v>0</v>
      </c>
      <c r="G337" s="209">
        <f>G338+G340+G341+G342</f>
        <v>0</v>
      </c>
    </row>
    <row r="338" spans="1:7" ht="12.75">
      <c r="A338" s="191"/>
      <c r="B338" s="77"/>
      <c r="C338" s="272" t="s">
        <v>620</v>
      </c>
      <c r="D338" s="209"/>
      <c r="E338" s="209"/>
      <c r="F338" s="209"/>
      <c r="G338" s="209"/>
    </row>
    <row r="339" spans="1:7" ht="12.75">
      <c r="A339" s="191"/>
      <c r="B339" s="77"/>
      <c r="C339" s="273" t="s">
        <v>700</v>
      </c>
      <c r="D339" s="209"/>
      <c r="E339" s="209"/>
      <c r="F339" s="209"/>
      <c r="G339" s="209"/>
    </row>
    <row r="340" spans="1:7" ht="12.75">
      <c r="A340" s="191"/>
      <c r="B340" s="77"/>
      <c r="C340" s="272" t="s">
        <v>627</v>
      </c>
      <c r="D340" s="209"/>
      <c r="E340" s="209"/>
      <c r="F340" s="209"/>
      <c r="G340" s="209"/>
    </row>
    <row r="341" spans="1:7" ht="12.75">
      <c r="A341" s="191"/>
      <c r="B341" s="77"/>
      <c r="C341" s="272" t="s">
        <v>701</v>
      </c>
      <c r="D341" s="209"/>
      <c r="E341" s="209"/>
      <c r="F341" s="209"/>
      <c r="G341" s="209"/>
    </row>
    <row r="342" spans="1:7" ht="12.75">
      <c r="A342" s="191"/>
      <c r="B342" s="77"/>
      <c r="C342" s="272" t="s">
        <v>625</v>
      </c>
      <c r="D342" s="209"/>
      <c r="E342" s="209"/>
      <c r="F342" s="209"/>
      <c r="G342" s="209"/>
    </row>
    <row r="343" spans="1:7" ht="12.75">
      <c r="A343" s="191"/>
      <c r="B343" s="77"/>
      <c r="C343" s="272" t="s">
        <v>626</v>
      </c>
      <c r="D343" s="209"/>
      <c r="E343" s="209"/>
      <c r="F343" s="209"/>
      <c r="G343" s="209"/>
    </row>
    <row r="344" spans="1:7" ht="12.75" customHeight="1">
      <c r="A344" s="205" t="s">
        <v>528</v>
      </c>
      <c r="B344" s="274" t="s">
        <v>529</v>
      </c>
      <c r="C344" s="207" t="s">
        <v>619</v>
      </c>
      <c r="D344" s="221">
        <f>D345+D347+D348+D349</f>
        <v>2491253.2830800004</v>
      </c>
      <c r="E344" s="221">
        <f>E345+E347+E348+E349</f>
        <v>2638685.3</v>
      </c>
      <c r="F344" s="221">
        <f>F345+F347+F348+F349</f>
        <v>2576917.0999999996</v>
      </c>
      <c r="G344" s="221">
        <f>G345+G347+G348+G349</f>
        <v>2878101.2999999993</v>
      </c>
    </row>
    <row r="345" spans="1:7" ht="12.75">
      <c r="A345" s="205"/>
      <c r="B345" s="274"/>
      <c r="C345" s="207" t="s">
        <v>620</v>
      </c>
      <c r="D345" s="221">
        <f>D352+D359+D366+D373+D380+D387+D394+D401+D408+D415+D422+D429+D436+D443+D450+D457+D464</f>
        <v>2491253.2830800004</v>
      </c>
      <c r="E345" s="221">
        <f>E352+E359+E366+E373+E380+E387+E394+E401+E408+E415+E422+E429+E436+E443+E450+E457+E464</f>
        <v>2638685.3</v>
      </c>
      <c r="F345" s="221">
        <f>F352+F359+F366+F373+F380+F387+F394+F401+F408+F415+F422+F429+F436+F443+F450+F457+F464</f>
        <v>2576917.0999999996</v>
      </c>
      <c r="G345" s="221">
        <f>G352+G359+G366+G373+G380+G387+G394+G401+G408+G415+G422+G429+G436+G443+G450+G457+G464</f>
        <v>2878101.2999999993</v>
      </c>
    </row>
    <row r="346" spans="1:7" ht="12.75">
      <c r="A346" s="205"/>
      <c r="B346" s="274"/>
      <c r="C346" s="207" t="s">
        <v>700</v>
      </c>
      <c r="D346" s="221">
        <f aca="true" t="shared" si="2" ref="D346:G350">D353+D360+D367+D374+D381+D388+D395+D402+D409+D416+D423+D430+D437+D444+D451+D458+D465</f>
        <v>3846.1000000000004</v>
      </c>
      <c r="E346" s="221">
        <f t="shared" si="2"/>
        <v>414.5</v>
      </c>
      <c r="F346" s="221">
        <f t="shared" si="2"/>
        <v>435.3</v>
      </c>
      <c r="G346" s="221">
        <f t="shared" si="2"/>
        <v>435.3</v>
      </c>
    </row>
    <row r="347" spans="1:7" ht="12.75">
      <c r="A347" s="205"/>
      <c r="B347" s="274"/>
      <c r="C347" s="207" t="s">
        <v>627</v>
      </c>
      <c r="D347" s="221">
        <f t="shared" si="2"/>
        <v>0</v>
      </c>
      <c r="E347" s="221">
        <f t="shared" si="2"/>
        <v>0</v>
      </c>
      <c r="F347" s="221">
        <f t="shared" si="2"/>
        <v>0</v>
      </c>
      <c r="G347" s="221">
        <f t="shared" si="2"/>
        <v>0</v>
      </c>
    </row>
    <row r="348" spans="1:7" ht="12.75">
      <c r="A348" s="205"/>
      <c r="B348" s="274"/>
      <c r="C348" s="207" t="s">
        <v>701</v>
      </c>
      <c r="D348" s="221">
        <f t="shared" si="2"/>
        <v>0</v>
      </c>
      <c r="E348" s="221">
        <f t="shared" si="2"/>
        <v>0</v>
      </c>
      <c r="F348" s="221">
        <f t="shared" si="2"/>
        <v>0</v>
      </c>
      <c r="G348" s="221">
        <f t="shared" si="2"/>
        <v>0</v>
      </c>
    </row>
    <row r="349" spans="1:7" ht="12.75">
      <c r="A349" s="205"/>
      <c r="B349" s="274"/>
      <c r="C349" s="207" t="s">
        <v>625</v>
      </c>
      <c r="D349" s="221">
        <f t="shared" si="2"/>
        <v>0</v>
      </c>
      <c r="E349" s="221">
        <f t="shared" si="2"/>
        <v>0</v>
      </c>
      <c r="F349" s="221">
        <f t="shared" si="2"/>
        <v>0</v>
      </c>
      <c r="G349" s="221">
        <f t="shared" si="2"/>
        <v>0</v>
      </c>
    </row>
    <row r="350" spans="1:7" ht="12.75">
      <c r="A350" s="205"/>
      <c r="B350" s="274"/>
      <c r="C350" s="207" t="s">
        <v>626</v>
      </c>
      <c r="D350" s="221">
        <f t="shared" si="2"/>
        <v>0</v>
      </c>
      <c r="E350" s="221">
        <f t="shared" si="2"/>
        <v>0</v>
      </c>
      <c r="F350" s="221">
        <f t="shared" si="2"/>
        <v>0</v>
      </c>
      <c r="G350" s="221">
        <f t="shared" si="2"/>
        <v>0</v>
      </c>
    </row>
    <row r="351" spans="1:7" ht="12.75" customHeight="1">
      <c r="A351" s="191" t="s">
        <v>740</v>
      </c>
      <c r="B351" s="195" t="s">
        <v>531</v>
      </c>
      <c r="C351" s="272" t="s">
        <v>619</v>
      </c>
      <c r="D351" s="209">
        <f>D352+D354+D355+D356</f>
        <v>10492</v>
      </c>
      <c r="E351" s="209">
        <f>E352+E354+E355+E356</f>
        <v>100000</v>
      </c>
      <c r="F351" s="209">
        <f>F352+F354+F355+F356</f>
        <v>0</v>
      </c>
      <c r="G351" s="209">
        <f>G352+G354+G355+G356</f>
        <v>370296</v>
      </c>
    </row>
    <row r="352" spans="1:7" ht="12.75">
      <c r="A352" s="191"/>
      <c r="B352" s="195"/>
      <c r="C352" s="272" t="s">
        <v>620</v>
      </c>
      <c r="D352" s="209">
        <f>'[1]Таблица 6'!D82</f>
        <v>10492</v>
      </c>
      <c r="E352" s="209">
        <f>'[1]Таблица 6'!E82</f>
        <v>100000</v>
      </c>
      <c r="F352" s="209">
        <f>'[1]Таблица 6'!F82</f>
        <v>0</v>
      </c>
      <c r="G352" s="209">
        <f>'[1]Таблица 6'!G82</f>
        <v>370296</v>
      </c>
    </row>
    <row r="353" spans="1:7" ht="12.75">
      <c r="A353" s="191"/>
      <c r="B353" s="195"/>
      <c r="C353" s="273" t="s">
        <v>700</v>
      </c>
      <c r="D353" s="209"/>
      <c r="E353" s="209"/>
      <c r="F353" s="209"/>
      <c r="G353" s="209"/>
    </row>
    <row r="354" spans="1:7" ht="12.75">
      <c r="A354" s="191"/>
      <c r="B354" s="195"/>
      <c r="C354" s="272" t="s">
        <v>627</v>
      </c>
      <c r="D354" s="209"/>
      <c r="E354" s="209"/>
      <c r="F354" s="209"/>
      <c r="G354" s="209"/>
    </row>
    <row r="355" spans="1:7" ht="12.75">
      <c r="A355" s="191"/>
      <c r="B355" s="195"/>
      <c r="C355" s="272" t="s">
        <v>701</v>
      </c>
      <c r="D355" s="209"/>
      <c r="E355" s="209"/>
      <c r="F355" s="209"/>
      <c r="G355" s="209"/>
    </row>
    <row r="356" spans="1:7" ht="12.75">
      <c r="A356" s="191"/>
      <c r="B356" s="195"/>
      <c r="C356" s="272" t="s">
        <v>625</v>
      </c>
      <c r="D356" s="209"/>
      <c r="E356" s="209"/>
      <c r="F356" s="209"/>
      <c r="G356" s="209"/>
    </row>
    <row r="357" spans="1:7" ht="12.75">
      <c r="A357" s="191"/>
      <c r="B357" s="195"/>
      <c r="C357" s="272" t="s">
        <v>626</v>
      </c>
      <c r="D357" s="209"/>
      <c r="E357" s="209"/>
      <c r="F357" s="209"/>
      <c r="G357" s="209"/>
    </row>
    <row r="358" spans="1:7" ht="12.75" customHeight="1">
      <c r="A358" s="191" t="s">
        <v>741</v>
      </c>
      <c r="B358" s="195" t="s">
        <v>533</v>
      </c>
      <c r="C358" s="272" t="s">
        <v>619</v>
      </c>
      <c r="D358" s="209">
        <f>D359+D361+D362+D363</f>
        <v>0</v>
      </c>
      <c r="E358" s="209">
        <f>E359+E361+E362+E363</f>
        <v>0</v>
      </c>
      <c r="F358" s="209">
        <f>F359+F361+F362+F363</f>
        <v>0</v>
      </c>
      <c r="G358" s="209">
        <f>G359+G361+G362+G363</f>
        <v>0</v>
      </c>
    </row>
    <row r="359" spans="1:7" ht="12.75">
      <c r="A359" s="191"/>
      <c r="B359" s="195"/>
      <c r="C359" s="272" t="s">
        <v>620</v>
      </c>
      <c r="D359" s="209"/>
      <c r="E359" s="209"/>
      <c r="F359" s="209"/>
      <c r="G359" s="209"/>
    </row>
    <row r="360" spans="1:7" ht="12.75">
      <c r="A360" s="191"/>
      <c r="B360" s="195"/>
      <c r="C360" s="273" t="s">
        <v>700</v>
      </c>
      <c r="D360" s="209"/>
      <c r="E360" s="209"/>
      <c r="F360" s="209"/>
      <c r="G360" s="209"/>
    </row>
    <row r="361" spans="1:7" ht="12.75">
      <c r="A361" s="191"/>
      <c r="B361" s="195"/>
      <c r="C361" s="272" t="s">
        <v>627</v>
      </c>
      <c r="D361" s="209"/>
      <c r="E361" s="209"/>
      <c r="F361" s="209"/>
      <c r="G361" s="209"/>
    </row>
    <row r="362" spans="1:7" ht="12.75">
      <c r="A362" s="191"/>
      <c r="B362" s="195"/>
      <c r="C362" s="272" t="s">
        <v>701</v>
      </c>
      <c r="D362" s="209"/>
      <c r="E362" s="209"/>
      <c r="F362" s="209"/>
      <c r="G362" s="209"/>
    </row>
    <row r="363" spans="1:7" ht="12.75">
      <c r="A363" s="191"/>
      <c r="B363" s="195"/>
      <c r="C363" s="272" t="s">
        <v>625</v>
      </c>
      <c r="D363" s="209"/>
      <c r="E363" s="209"/>
      <c r="F363" s="209"/>
      <c r="G363" s="209"/>
    </row>
    <row r="364" spans="1:7" ht="12.75">
      <c r="A364" s="191"/>
      <c r="B364" s="195"/>
      <c r="C364" s="272" t="s">
        <v>626</v>
      </c>
      <c r="D364" s="209"/>
      <c r="E364" s="209"/>
      <c r="F364" s="209"/>
      <c r="G364" s="209"/>
    </row>
    <row r="365" spans="1:7" ht="12.75" customHeight="1">
      <c r="A365" s="191" t="s">
        <v>742</v>
      </c>
      <c r="B365" s="77" t="s">
        <v>535</v>
      </c>
      <c r="C365" s="272" t="s">
        <v>619</v>
      </c>
      <c r="D365" s="209">
        <f>D366+D368+D369+D370</f>
        <v>0</v>
      </c>
      <c r="E365" s="209">
        <f>E366+E368+E369+E370</f>
        <v>0</v>
      </c>
      <c r="F365" s="209">
        <f>F366+F368+F369+F370</f>
        <v>0</v>
      </c>
      <c r="G365" s="209">
        <f>G366+G368+G369+G370</f>
        <v>0</v>
      </c>
    </row>
    <row r="366" spans="1:7" ht="12.75">
      <c r="A366" s="191"/>
      <c r="B366" s="77"/>
      <c r="C366" s="272" t="s">
        <v>620</v>
      </c>
      <c r="D366" s="209"/>
      <c r="E366" s="209"/>
      <c r="F366" s="209"/>
      <c r="G366" s="209"/>
    </row>
    <row r="367" spans="1:7" ht="12.75">
      <c r="A367" s="191"/>
      <c r="B367" s="77"/>
      <c r="C367" s="273" t="s">
        <v>700</v>
      </c>
      <c r="D367" s="209"/>
      <c r="E367" s="209"/>
      <c r="F367" s="209"/>
      <c r="G367" s="209"/>
    </row>
    <row r="368" spans="1:7" ht="12.75">
      <c r="A368" s="191"/>
      <c r="B368" s="77"/>
      <c r="C368" s="272" t="s">
        <v>627</v>
      </c>
      <c r="D368" s="209"/>
      <c r="E368" s="209"/>
      <c r="F368" s="209"/>
      <c r="G368" s="209"/>
    </row>
    <row r="369" spans="1:7" ht="12.75">
      <c r="A369" s="191"/>
      <c r="B369" s="77"/>
      <c r="C369" s="272" t="s">
        <v>701</v>
      </c>
      <c r="D369" s="209"/>
      <c r="E369" s="209"/>
      <c r="F369" s="209"/>
      <c r="G369" s="209"/>
    </row>
    <row r="370" spans="1:7" ht="12.75">
      <c r="A370" s="191"/>
      <c r="B370" s="77"/>
      <c r="C370" s="272" t="s">
        <v>625</v>
      </c>
      <c r="D370" s="209"/>
      <c r="E370" s="209"/>
      <c r="F370" s="209"/>
      <c r="G370" s="209"/>
    </row>
    <row r="371" spans="1:7" ht="12.75">
      <c r="A371" s="191"/>
      <c r="B371" s="77"/>
      <c r="C371" s="272" t="s">
        <v>626</v>
      </c>
      <c r="D371" s="209"/>
      <c r="E371" s="209"/>
      <c r="F371" s="209"/>
      <c r="G371" s="209"/>
    </row>
    <row r="372" spans="1:7" ht="12.75" customHeight="1">
      <c r="A372" s="191" t="s">
        <v>743</v>
      </c>
      <c r="B372" s="88" t="s">
        <v>537</v>
      </c>
      <c r="C372" s="272" t="s">
        <v>619</v>
      </c>
      <c r="D372" s="209">
        <f>D373+D375+D376+D377</f>
        <v>225073.53208</v>
      </c>
      <c r="E372" s="209">
        <f>E373+E375+E376+E377</f>
        <v>148140.4</v>
      </c>
      <c r="F372" s="209">
        <f>F373+F375+F376+F377</f>
        <v>120924.8</v>
      </c>
      <c r="G372" s="209">
        <f>G373+G375+G376+G377</f>
        <v>30924.8</v>
      </c>
    </row>
    <row r="373" spans="1:7" ht="12.75">
      <c r="A373" s="191"/>
      <c r="B373" s="88"/>
      <c r="C373" s="272" t="s">
        <v>620</v>
      </c>
      <c r="D373" s="209">
        <f>'[1]Таблица 6'!D86</f>
        <v>225073.53208</v>
      </c>
      <c r="E373" s="209">
        <f>'[1]Таблица 6'!E86</f>
        <v>148140.4</v>
      </c>
      <c r="F373" s="209">
        <f>'[1]Таблица 6'!F86</f>
        <v>120924.8</v>
      </c>
      <c r="G373" s="209">
        <f>'[1]Таблица 6'!G86</f>
        <v>30924.8</v>
      </c>
    </row>
    <row r="374" spans="1:7" ht="12.75">
      <c r="A374" s="191"/>
      <c r="B374" s="88"/>
      <c r="C374" s="273" t="s">
        <v>700</v>
      </c>
      <c r="D374" s="209"/>
      <c r="E374" s="209"/>
      <c r="F374" s="209"/>
      <c r="G374" s="209"/>
    </row>
    <row r="375" spans="1:7" ht="12.75">
      <c r="A375" s="191"/>
      <c r="B375" s="88"/>
      <c r="C375" s="272" t="s">
        <v>627</v>
      </c>
      <c r="D375" s="209"/>
      <c r="E375" s="209"/>
      <c r="F375" s="209"/>
      <c r="G375" s="209"/>
    </row>
    <row r="376" spans="1:7" ht="12.75">
      <c r="A376" s="191"/>
      <c r="B376" s="88"/>
      <c r="C376" s="272" t="s">
        <v>701</v>
      </c>
      <c r="D376" s="209"/>
      <c r="E376" s="209"/>
      <c r="F376" s="209"/>
      <c r="G376" s="209"/>
    </row>
    <row r="377" spans="1:7" ht="12.75">
      <c r="A377" s="191"/>
      <c r="B377" s="88"/>
      <c r="C377" s="272" t="s">
        <v>625</v>
      </c>
      <c r="D377" s="209"/>
      <c r="E377" s="209"/>
      <c r="F377" s="209"/>
      <c r="G377" s="209"/>
    </row>
    <row r="378" spans="1:7" ht="12.75">
      <c r="A378" s="191"/>
      <c r="B378" s="88"/>
      <c r="C378" s="272" t="s">
        <v>626</v>
      </c>
      <c r="D378" s="209"/>
      <c r="E378" s="209"/>
      <c r="F378" s="209"/>
      <c r="G378" s="209"/>
    </row>
    <row r="379" spans="1:7" ht="12.75" customHeight="1">
      <c r="A379" s="191" t="s">
        <v>744</v>
      </c>
      <c r="B379" s="77" t="s">
        <v>539</v>
      </c>
      <c r="C379" s="272" t="s">
        <v>619</v>
      </c>
      <c r="D379" s="209">
        <f>D380+D382+D383+D384</f>
        <v>2353.9</v>
      </c>
      <c r="E379" s="209">
        <f>E380+E382+E383+E384</f>
        <v>0</v>
      </c>
      <c r="F379" s="209">
        <f>F380+F382+F383+F384</f>
        <v>0</v>
      </c>
      <c r="G379" s="209">
        <f>G380+G382+G383+G384</f>
        <v>0</v>
      </c>
    </row>
    <row r="380" spans="1:7" ht="12.75">
      <c r="A380" s="191"/>
      <c r="B380" s="77"/>
      <c r="C380" s="272" t="s">
        <v>620</v>
      </c>
      <c r="D380" s="209">
        <f>'[1]Таблица 6'!D87</f>
        <v>2353.9</v>
      </c>
      <c r="E380" s="209">
        <f>'[1]Таблица 6'!E87</f>
        <v>0</v>
      </c>
      <c r="F380" s="209">
        <f>'[1]Таблица 6'!F87</f>
        <v>0</v>
      </c>
      <c r="G380" s="209">
        <f>'[1]Таблица 6'!G87</f>
        <v>0</v>
      </c>
    </row>
    <row r="381" spans="1:7" ht="12.75">
      <c r="A381" s="191"/>
      <c r="B381" s="77"/>
      <c r="C381" s="273" t="s">
        <v>700</v>
      </c>
      <c r="D381" s="209">
        <f>'[1]Таблица 6'!D87</f>
        <v>2353.9</v>
      </c>
      <c r="E381" s="209">
        <f>'[1]Таблица 6'!E87</f>
        <v>0</v>
      </c>
      <c r="F381" s="209">
        <f>'[1]Таблица 6'!F87</f>
        <v>0</v>
      </c>
      <c r="G381" s="209">
        <f>'[1]Таблица 6'!G87</f>
        <v>0</v>
      </c>
    </row>
    <row r="382" spans="1:7" ht="12.75">
      <c r="A382" s="191"/>
      <c r="B382" s="77"/>
      <c r="C382" s="272" t="s">
        <v>627</v>
      </c>
      <c r="D382" s="209"/>
      <c r="E382" s="209"/>
      <c r="F382" s="209"/>
      <c r="G382" s="209"/>
    </row>
    <row r="383" spans="1:7" ht="12.75">
      <c r="A383" s="191"/>
      <c r="B383" s="77"/>
      <c r="C383" s="272" t="s">
        <v>701</v>
      </c>
      <c r="D383" s="209"/>
      <c r="E383" s="209"/>
      <c r="F383" s="209"/>
      <c r="G383" s="209"/>
    </row>
    <row r="384" spans="1:7" ht="12.75">
      <c r="A384" s="191"/>
      <c r="B384" s="77"/>
      <c r="C384" s="272" t="s">
        <v>625</v>
      </c>
      <c r="D384" s="209"/>
      <c r="E384" s="209"/>
      <c r="F384" s="209"/>
      <c r="G384" s="209"/>
    </row>
    <row r="385" spans="1:7" ht="12.75">
      <c r="A385" s="191"/>
      <c r="B385" s="77"/>
      <c r="C385" s="272" t="s">
        <v>626</v>
      </c>
      <c r="D385" s="209"/>
      <c r="E385" s="209"/>
      <c r="F385" s="209"/>
      <c r="G385" s="209"/>
    </row>
    <row r="386" spans="1:7" ht="12.75" customHeight="1">
      <c r="A386" s="191" t="s">
        <v>745</v>
      </c>
      <c r="B386" s="77" t="s">
        <v>541</v>
      </c>
      <c r="C386" s="272" t="s">
        <v>619</v>
      </c>
      <c r="D386" s="209">
        <f>D387+D389+D390+D391</f>
        <v>2197598.751</v>
      </c>
      <c r="E386" s="209">
        <f>E387+E389+E390+E391</f>
        <v>2314108</v>
      </c>
      <c r="F386" s="209">
        <f>F387+F389+F390+F391</f>
        <v>2332488.3</v>
      </c>
      <c r="G386" s="209">
        <f>G387+G389+G390+G391</f>
        <v>2350950.9</v>
      </c>
    </row>
    <row r="387" spans="1:7" ht="12.75">
      <c r="A387" s="191"/>
      <c r="B387" s="77"/>
      <c r="C387" s="272" t="s">
        <v>620</v>
      </c>
      <c r="D387" s="209">
        <f>'[1]Таблица 6'!D89</f>
        <v>2197598.751</v>
      </c>
      <c r="E387" s="209">
        <f>'[1]Таблица 6'!E89</f>
        <v>2314108</v>
      </c>
      <c r="F387" s="209">
        <f>'[1]Таблица 6'!F89</f>
        <v>2332488.3</v>
      </c>
      <c r="G387" s="209">
        <f>'[1]Таблица 6'!G89</f>
        <v>2350950.9</v>
      </c>
    </row>
    <row r="388" spans="1:7" ht="12.75">
      <c r="A388" s="191"/>
      <c r="B388" s="77"/>
      <c r="C388" s="273" t="s">
        <v>700</v>
      </c>
      <c r="D388" s="209"/>
      <c r="E388" s="209"/>
      <c r="F388" s="209"/>
      <c r="G388" s="209"/>
    </row>
    <row r="389" spans="1:7" ht="12.75">
      <c r="A389" s="191"/>
      <c r="B389" s="77"/>
      <c r="C389" s="272" t="s">
        <v>627</v>
      </c>
      <c r="D389" s="209"/>
      <c r="E389" s="209"/>
      <c r="F389" s="209"/>
      <c r="G389" s="209"/>
    </row>
    <row r="390" spans="1:7" ht="12.75">
      <c r="A390" s="191"/>
      <c r="B390" s="77"/>
      <c r="C390" s="272" t="s">
        <v>701</v>
      </c>
      <c r="D390" s="209"/>
      <c r="E390" s="209"/>
      <c r="F390" s="209"/>
      <c r="G390" s="209"/>
    </row>
    <row r="391" spans="1:7" ht="12.75">
      <c r="A391" s="191"/>
      <c r="B391" s="77"/>
      <c r="C391" s="272" t="s">
        <v>625</v>
      </c>
      <c r="D391" s="209"/>
      <c r="E391" s="209"/>
      <c r="F391" s="209"/>
      <c r="G391" s="209"/>
    </row>
    <row r="392" spans="1:7" ht="12.75">
      <c r="A392" s="191"/>
      <c r="B392" s="77"/>
      <c r="C392" s="272" t="s">
        <v>626</v>
      </c>
      <c r="D392" s="209"/>
      <c r="E392" s="209"/>
      <c r="F392" s="209"/>
      <c r="G392" s="209"/>
    </row>
    <row r="393" spans="1:7" ht="12.75" customHeight="1">
      <c r="A393" s="191" t="s">
        <v>746</v>
      </c>
      <c r="B393" s="77" t="s">
        <v>543</v>
      </c>
      <c r="C393" s="272" t="s">
        <v>619</v>
      </c>
      <c r="D393" s="209">
        <f>D394+D396+D397+D398</f>
        <v>0</v>
      </c>
      <c r="E393" s="209">
        <f>E394+E396+E397+E398</f>
        <v>0</v>
      </c>
      <c r="F393" s="209">
        <f>F394+F396+F397+F398</f>
        <v>0</v>
      </c>
      <c r="G393" s="209">
        <f>G394+G396+G397+G398</f>
        <v>0</v>
      </c>
    </row>
    <row r="394" spans="1:7" ht="12.75">
      <c r="A394" s="191"/>
      <c r="B394" s="77"/>
      <c r="C394" s="272" t="s">
        <v>620</v>
      </c>
      <c r="D394" s="209"/>
      <c r="E394" s="209"/>
      <c r="F394" s="209"/>
      <c r="G394" s="209"/>
    </row>
    <row r="395" spans="1:7" ht="12.75">
      <c r="A395" s="191"/>
      <c r="B395" s="77"/>
      <c r="C395" s="273" t="s">
        <v>700</v>
      </c>
      <c r="D395" s="209"/>
      <c r="E395" s="209"/>
      <c r="F395" s="209"/>
      <c r="G395" s="209"/>
    </row>
    <row r="396" spans="1:7" ht="12.75">
      <c r="A396" s="191"/>
      <c r="B396" s="77"/>
      <c r="C396" s="272" t="s">
        <v>627</v>
      </c>
      <c r="D396" s="209"/>
      <c r="E396" s="209"/>
      <c r="F396" s="209"/>
      <c r="G396" s="209"/>
    </row>
    <row r="397" spans="1:7" ht="12.75">
      <c r="A397" s="191"/>
      <c r="B397" s="77"/>
      <c r="C397" s="272" t="s">
        <v>701</v>
      </c>
      <c r="D397" s="209"/>
      <c r="E397" s="209"/>
      <c r="F397" s="209"/>
      <c r="G397" s="209"/>
    </row>
    <row r="398" spans="1:7" ht="12.75">
      <c r="A398" s="191"/>
      <c r="B398" s="77"/>
      <c r="C398" s="272" t="s">
        <v>625</v>
      </c>
      <c r="D398" s="209"/>
      <c r="E398" s="209"/>
      <c r="F398" s="209"/>
      <c r="G398" s="209"/>
    </row>
    <row r="399" spans="1:7" ht="12.75">
      <c r="A399" s="191"/>
      <c r="B399" s="77"/>
      <c r="C399" s="272" t="s">
        <v>626</v>
      </c>
      <c r="D399" s="209"/>
      <c r="E399" s="209"/>
      <c r="F399" s="209"/>
      <c r="G399" s="209"/>
    </row>
    <row r="400" spans="1:7" ht="12.75" customHeight="1">
      <c r="A400" s="191" t="s">
        <v>747</v>
      </c>
      <c r="B400" s="195" t="s">
        <v>545</v>
      </c>
      <c r="C400" s="272" t="s">
        <v>619</v>
      </c>
      <c r="D400" s="209">
        <f>D401+D403+D404+D405</f>
        <v>520.8</v>
      </c>
      <c r="E400" s="209">
        <f>E401+E403+E404+E405</f>
        <v>247.3</v>
      </c>
      <c r="F400" s="209">
        <f>F401+F403+F404+F405</f>
        <v>27.3</v>
      </c>
      <c r="G400" s="209">
        <f>G401+G403+G404+G405</f>
        <v>27.3</v>
      </c>
    </row>
    <row r="401" spans="1:7" ht="12.75">
      <c r="A401" s="191"/>
      <c r="B401" s="195"/>
      <c r="C401" s="272" t="s">
        <v>620</v>
      </c>
      <c r="D401" s="209">
        <f>'[1]Таблица 6'!D91</f>
        <v>520.8</v>
      </c>
      <c r="E401" s="209">
        <f>'[1]Таблица 6'!E91</f>
        <v>247.3</v>
      </c>
      <c r="F401" s="209">
        <f>'[1]Таблица 6'!F91</f>
        <v>27.3</v>
      </c>
      <c r="G401" s="209">
        <f>'[1]Таблица 6'!G91</f>
        <v>27.3</v>
      </c>
    </row>
    <row r="402" spans="1:7" ht="12.75">
      <c r="A402" s="191"/>
      <c r="B402" s="195"/>
      <c r="C402" s="273" t="s">
        <v>700</v>
      </c>
      <c r="D402" s="209">
        <f>'[1]Таблица 6'!D92</f>
        <v>493.5</v>
      </c>
      <c r="E402" s="209">
        <f>'[1]Таблица 6'!E92</f>
        <v>0</v>
      </c>
      <c r="F402" s="209">
        <f>'[1]Таблица 6'!F92</f>
        <v>0</v>
      </c>
      <c r="G402" s="209">
        <f>'[1]Таблица 6'!G92</f>
        <v>0</v>
      </c>
    </row>
    <row r="403" spans="1:7" ht="12.75">
      <c r="A403" s="191"/>
      <c r="B403" s="195"/>
      <c r="C403" s="272" t="s">
        <v>627</v>
      </c>
      <c r="D403" s="209"/>
      <c r="E403" s="209"/>
      <c r="F403" s="209"/>
      <c r="G403" s="209"/>
    </row>
    <row r="404" spans="1:7" ht="12.75">
      <c r="A404" s="191"/>
      <c r="B404" s="195"/>
      <c r="C404" s="272" t="s">
        <v>701</v>
      </c>
      <c r="D404" s="209"/>
      <c r="E404" s="209"/>
      <c r="F404" s="209"/>
      <c r="G404" s="209"/>
    </row>
    <row r="405" spans="1:7" ht="12.75">
      <c r="A405" s="191"/>
      <c r="B405" s="195"/>
      <c r="C405" s="272" t="s">
        <v>625</v>
      </c>
      <c r="D405" s="209"/>
      <c r="E405" s="209"/>
      <c r="F405" s="209"/>
      <c r="G405" s="209"/>
    </row>
    <row r="406" spans="1:7" ht="12.75">
      <c r="A406" s="191"/>
      <c r="B406" s="195"/>
      <c r="C406" s="272" t="s">
        <v>626</v>
      </c>
      <c r="D406" s="209"/>
      <c r="E406" s="209"/>
      <c r="F406" s="209"/>
      <c r="G406" s="209"/>
    </row>
    <row r="407" spans="1:7" ht="12.75" customHeight="1">
      <c r="A407" s="191" t="s">
        <v>748</v>
      </c>
      <c r="B407" s="88" t="s">
        <v>547</v>
      </c>
      <c r="C407" s="272" t="s">
        <v>619</v>
      </c>
      <c r="D407" s="209">
        <f>D408+D410+D411+D412</f>
        <v>147.5</v>
      </c>
      <c r="E407" s="209">
        <f>E408+E410+E411+E412</f>
        <v>147.5</v>
      </c>
      <c r="F407" s="209">
        <f>F408+F410+F411+F412</f>
        <v>147.5</v>
      </c>
      <c r="G407" s="209">
        <f>G408+G410+G411+G412</f>
        <v>147.5</v>
      </c>
    </row>
    <row r="408" spans="1:7" ht="12.75">
      <c r="A408" s="191"/>
      <c r="B408" s="88"/>
      <c r="C408" s="272" t="s">
        <v>620</v>
      </c>
      <c r="D408" s="209">
        <f>'[1]Таблица 6'!D93</f>
        <v>147.5</v>
      </c>
      <c r="E408" s="209">
        <f>'[1]Таблица 6'!E93</f>
        <v>147.5</v>
      </c>
      <c r="F408" s="209">
        <f>'[1]Таблица 6'!F93</f>
        <v>147.5</v>
      </c>
      <c r="G408" s="209">
        <f>'[1]Таблица 6'!G93</f>
        <v>147.5</v>
      </c>
    </row>
    <row r="409" spans="1:7" ht="12.75">
      <c r="A409" s="191"/>
      <c r="B409" s="88"/>
      <c r="C409" s="273" t="s">
        <v>700</v>
      </c>
      <c r="D409" s="209"/>
      <c r="E409" s="209"/>
      <c r="F409" s="209"/>
      <c r="G409" s="209"/>
    </row>
    <row r="410" spans="1:7" ht="12.75">
      <c r="A410" s="191"/>
      <c r="B410" s="88"/>
      <c r="C410" s="272" t="s">
        <v>627</v>
      </c>
      <c r="D410" s="209"/>
      <c r="E410" s="209"/>
      <c r="F410" s="209"/>
      <c r="G410" s="209"/>
    </row>
    <row r="411" spans="1:7" ht="12.75">
      <c r="A411" s="191"/>
      <c r="B411" s="88"/>
      <c r="C411" s="272" t="s">
        <v>701</v>
      </c>
      <c r="D411" s="209"/>
      <c r="E411" s="209"/>
      <c r="F411" s="209"/>
      <c r="G411" s="209"/>
    </row>
    <row r="412" spans="1:7" ht="12.75">
      <c r="A412" s="191"/>
      <c r="B412" s="88"/>
      <c r="C412" s="272" t="s">
        <v>625</v>
      </c>
      <c r="D412" s="209"/>
      <c r="E412" s="209"/>
      <c r="F412" s="209"/>
      <c r="G412" s="209"/>
    </row>
    <row r="413" spans="1:7" ht="12.75">
      <c r="A413" s="191"/>
      <c r="B413" s="88"/>
      <c r="C413" s="272" t="s">
        <v>626</v>
      </c>
      <c r="D413" s="209"/>
      <c r="E413" s="209"/>
      <c r="F413" s="209"/>
      <c r="G413" s="209"/>
    </row>
    <row r="414" spans="1:7" ht="12.75" customHeight="1">
      <c r="A414" s="191" t="s">
        <v>749</v>
      </c>
      <c r="B414" s="195" t="s">
        <v>605</v>
      </c>
      <c r="C414" s="272" t="s">
        <v>619</v>
      </c>
      <c r="D414" s="209">
        <f>D415+D417+D418+D419</f>
        <v>0</v>
      </c>
      <c r="E414" s="209">
        <f>E415+E417+E418+E419</f>
        <v>414.5</v>
      </c>
      <c r="F414" s="209">
        <f>F415+F417+F418+F419</f>
        <v>435.3</v>
      </c>
      <c r="G414" s="209">
        <f>G415+G417+G418+G419</f>
        <v>435.3</v>
      </c>
    </row>
    <row r="415" spans="1:7" ht="12.75">
      <c r="A415" s="191"/>
      <c r="B415" s="195"/>
      <c r="C415" s="272" t="s">
        <v>620</v>
      </c>
      <c r="D415" s="209">
        <f>'[1]Таблица 6'!D94</f>
        <v>0</v>
      </c>
      <c r="E415" s="209">
        <f>'[1]Таблица 6'!E94</f>
        <v>414.5</v>
      </c>
      <c r="F415" s="209">
        <f>'[1]Таблица 6'!F94</f>
        <v>435.3</v>
      </c>
      <c r="G415" s="209">
        <f>'[1]Таблица 6'!G94</f>
        <v>435.3</v>
      </c>
    </row>
    <row r="416" spans="1:7" ht="12.75">
      <c r="A416" s="191"/>
      <c r="B416" s="195"/>
      <c r="C416" s="273" t="s">
        <v>700</v>
      </c>
      <c r="D416" s="209">
        <f>'[1]Таблица 6'!D94</f>
        <v>0</v>
      </c>
      <c r="E416" s="209">
        <f>'[1]Таблица 6'!E94</f>
        <v>414.5</v>
      </c>
      <c r="F416" s="209">
        <f>'[1]Таблица 6'!F94</f>
        <v>435.3</v>
      </c>
      <c r="G416" s="209">
        <f>'[1]Таблица 6'!G94</f>
        <v>435.3</v>
      </c>
    </row>
    <row r="417" spans="1:7" ht="12.75">
      <c r="A417" s="191"/>
      <c r="B417" s="195"/>
      <c r="C417" s="272" t="s">
        <v>627</v>
      </c>
      <c r="D417" s="209"/>
      <c r="E417" s="209"/>
      <c r="F417" s="209"/>
      <c r="G417" s="209"/>
    </row>
    <row r="418" spans="1:7" ht="12.75">
      <c r="A418" s="191"/>
      <c r="B418" s="195"/>
      <c r="C418" s="272" t="s">
        <v>701</v>
      </c>
      <c r="D418" s="209"/>
      <c r="E418" s="209"/>
      <c r="F418" s="209"/>
      <c r="G418" s="209"/>
    </row>
    <row r="419" spans="1:7" ht="12.75">
      <c r="A419" s="191"/>
      <c r="B419" s="195"/>
      <c r="C419" s="272" t="s">
        <v>625</v>
      </c>
      <c r="D419" s="209"/>
      <c r="E419" s="209"/>
      <c r="F419" s="209"/>
      <c r="G419" s="209"/>
    </row>
    <row r="420" spans="1:7" ht="12.75">
      <c r="A420" s="191"/>
      <c r="B420" s="195"/>
      <c r="C420" s="272" t="s">
        <v>626</v>
      </c>
      <c r="D420" s="209"/>
      <c r="E420" s="209"/>
      <c r="F420" s="209"/>
      <c r="G420" s="209"/>
    </row>
    <row r="421" spans="1:7" ht="12.75" customHeight="1">
      <c r="A421" s="191" t="s">
        <v>606</v>
      </c>
      <c r="B421" s="88" t="s">
        <v>607</v>
      </c>
      <c r="C421" s="272" t="s">
        <v>619</v>
      </c>
      <c r="D421" s="209">
        <f>D422+D424+D425+D426</f>
        <v>0</v>
      </c>
      <c r="E421" s="209">
        <f>E422+E424+E425+E426</f>
        <v>0</v>
      </c>
      <c r="F421" s="209">
        <f>F422+F424+F425+F426</f>
        <v>0</v>
      </c>
      <c r="G421" s="209">
        <f>G422+G424+G425+G426</f>
        <v>0</v>
      </c>
    </row>
    <row r="422" spans="1:7" ht="12.75">
      <c r="A422" s="191"/>
      <c r="B422" s="88"/>
      <c r="C422" s="272" t="s">
        <v>620</v>
      </c>
      <c r="D422" s="209"/>
      <c r="E422" s="209"/>
      <c r="F422" s="209"/>
      <c r="G422" s="209"/>
    </row>
    <row r="423" spans="1:7" ht="12.75">
      <c r="A423" s="191"/>
      <c r="B423" s="88"/>
      <c r="C423" s="273" t="s">
        <v>700</v>
      </c>
      <c r="D423" s="209"/>
      <c r="E423" s="209"/>
      <c r="F423" s="209"/>
      <c r="G423" s="209"/>
    </row>
    <row r="424" spans="1:7" ht="12.75">
      <c r="A424" s="191"/>
      <c r="B424" s="88"/>
      <c r="C424" s="272" t="s">
        <v>627</v>
      </c>
      <c r="D424" s="209"/>
      <c r="E424" s="209"/>
      <c r="F424" s="209"/>
      <c r="G424" s="209"/>
    </row>
    <row r="425" spans="1:7" ht="12.75">
      <c r="A425" s="191"/>
      <c r="B425" s="88"/>
      <c r="C425" s="272" t="s">
        <v>701</v>
      </c>
      <c r="D425" s="209"/>
      <c r="E425" s="209"/>
      <c r="F425" s="209"/>
      <c r="G425" s="209"/>
    </row>
    <row r="426" spans="1:7" ht="12.75">
      <c r="A426" s="191"/>
      <c r="B426" s="88"/>
      <c r="C426" s="272" t="s">
        <v>625</v>
      </c>
      <c r="D426" s="209"/>
      <c r="E426" s="209"/>
      <c r="F426" s="209"/>
      <c r="G426" s="209"/>
    </row>
    <row r="427" spans="1:7" ht="12.75">
      <c r="A427" s="191"/>
      <c r="B427" s="88"/>
      <c r="C427" s="272" t="s">
        <v>626</v>
      </c>
      <c r="D427" s="209"/>
      <c r="E427" s="209"/>
      <c r="F427" s="209"/>
      <c r="G427" s="209"/>
    </row>
    <row r="428" spans="1:7" ht="12.75" customHeight="1">
      <c r="A428" s="191" t="s">
        <v>750</v>
      </c>
      <c r="B428" s="77" t="s">
        <v>549</v>
      </c>
      <c r="C428" s="272" t="s">
        <v>619</v>
      </c>
      <c r="D428" s="209">
        <f>D429+D431+D432+D433</f>
        <v>5424.1</v>
      </c>
      <c r="E428" s="209">
        <f>E429+E431+E432+E433</f>
        <v>5590.9</v>
      </c>
      <c r="F428" s="209">
        <f>F429+F431+F432+F433</f>
        <v>5881.2</v>
      </c>
      <c r="G428" s="209">
        <f>G429+G431+G432+G433</f>
        <v>5881.2</v>
      </c>
    </row>
    <row r="429" spans="1:7" ht="12.75">
      <c r="A429" s="191"/>
      <c r="B429" s="77"/>
      <c r="C429" s="272" t="s">
        <v>620</v>
      </c>
      <c r="D429" s="209">
        <f>'[1]Таблица 6'!D99</f>
        <v>5424.1</v>
      </c>
      <c r="E429" s="209">
        <f>'[1]Таблица 6'!E99</f>
        <v>5590.9</v>
      </c>
      <c r="F429" s="209">
        <f>'[1]Таблица 6'!F99</f>
        <v>5881.2</v>
      </c>
      <c r="G429" s="209">
        <f>'[1]Таблица 6'!G99</f>
        <v>5881.2</v>
      </c>
    </row>
    <row r="430" spans="1:7" ht="12.75">
      <c r="A430" s="191"/>
      <c r="B430" s="77"/>
      <c r="C430" s="273" t="s">
        <v>700</v>
      </c>
      <c r="D430" s="209"/>
      <c r="E430" s="209"/>
      <c r="F430" s="209"/>
      <c r="G430" s="209"/>
    </row>
    <row r="431" spans="1:7" ht="12.75">
      <c r="A431" s="191"/>
      <c r="B431" s="77"/>
      <c r="C431" s="272" t="s">
        <v>627</v>
      </c>
      <c r="D431" s="209"/>
      <c r="E431" s="209"/>
      <c r="F431" s="209"/>
      <c r="G431" s="209"/>
    </row>
    <row r="432" spans="1:7" ht="12.75">
      <c r="A432" s="191"/>
      <c r="B432" s="77"/>
      <c r="C432" s="272" t="s">
        <v>701</v>
      </c>
      <c r="D432" s="209"/>
      <c r="E432" s="209"/>
      <c r="F432" s="209"/>
      <c r="G432" s="209"/>
    </row>
    <row r="433" spans="1:7" ht="12.75">
      <c r="A433" s="191"/>
      <c r="B433" s="77"/>
      <c r="C433" s="272" t="s">
        <v>625</v>
      </c>
      <c r="D433" s="209"/>
      <c r="E433" s="209"/>
      <c r="F433" s="209"/>
      <c r="G433" s="209"/>
    </row>
    <row r="434" spans="1:7" ht="12.75">
      <c r="A434" s="191"/>
      <c r="B434" s="77"/>
      <c r="C434" s="272" t="s">
        <v>626</v>
      </c>
      <c r="D434" s="209"/>
      <c r="E434" s="209"/>
      <c r="F434" s="209"/>
      <c r="G434" s="209"/>
    </row>
    <row r="435" spans="1:7" ht="12.75" customHeight="1">
      <c r="A435" s="191" t="s">
        <v>751</v>
      </c>
      <c r="B435" s="77" t="s">
        <v>551</v>
      </c>
      <c r="C435" s="272" t="s">
        <v>619</v>
      </c>
      <c r="D435" s="209">
        <f>D436+D438+D439+D440</f>
        <v>0</v>
      </c>
      <c r="E435" s="209">
        <f>E436+E438+E439+E440</f>
        <v>0</v>
      </c>
      <c r="F435" s="209">
        <f>F436+F438+F439+F440</f>
        <v>0</v>
      </c>
      <c r="G435" s="209">
        <f>G436+G438+G439+G440</f>
        <v>0</v>
      </c>
    </row>
    <row r="436" spans="1:7" ht="12.75">
      <c r="A436" s="191"/>
      <c r="B436" s="77"/>
      <c r="C436" s="272" t="s">
        <v>620</v>
      </c>
      <c r="D436" s="209"/>
      <c r="E436" s="209"/>
      <c r="F436" s="209"/>
      <c r="G436" s="209"/>
    </row>
    <row r="437" spans="1:7" ht="12.75">
      <c r="A437" s="191"/>
      <c r="B437" s="77"/>
      <c r="C437" s="273" t="s">
        <v>700</v>
      </c>
      <c r="D437" s="209"/>
      <c r="E437" s="209"/>
      <c r="F437" s="209"/>
      <c r="G437" s="209"/>
    </row>
    <row r="438" spans="1:7" ht="12.75">
      <c r="A438" s="191"/>
      <c r="B438" s="77"/>
      <c r="C438" s="272" t="s">
        <v>627</v>
      </c>
      <c r="D438" s="209"/>
      <c r="E438" s="209"/>
      <c r="F438" s="209"/>
      <c r="G438" s="209"/>
    </row>
    <row r="439" spans="1:7" ht="12.75">
      <c r="A439" s="191"/>
      <c r="B439" s="77"/>
      <c r="C439" s="272" t="s">
        <v>701</v>
      </c>
      <c r="D439" s="209"/>
      <c r="E439" s="209"/>
      <c r="F439" s="209"/>
      <c r="G439" s="209"/>
    </row>
    <row r="440" spans="1:7" ht="12.75">
      <c r="A440" s="191"/>
      <c r="B440" s="77"/>
      <c r="C440" s="272" t="s">
        <v>625</v>
      </c>
      <c r="D440" s="209"/>
      <c r="E440" s="209"/>
      <c r="F440" s="209"/>
      <c r="G440" s="209"/>
    </row>
    <row r="441" spans="1:7" ht="12.75">
      <c r="A441" s="191"/>
      <c r="B441" s="77"/>
      <c r="C441" s="272" t="s">
        <v>626</v>
      </c>
      <c r="D441" s="209"/>
      <c r="E441" s="209"/>
      <c r="F441" s="209"/>
      <c r="G441" s="209"/>
    </row>
    <row r="442" spans="1:7" ht="12.75" customHeight="1">
      <c r="A442" s="191" t="s">
        <v>752</v>
      </c>
      <c r="B442" s="88" t="s">
        <v>608</v>
      </c>
      <c r="C442" s="272" t="s">
        <v>619</v>
      </c>
      <c r="D442" s="209">
        <f>D443+D445+D446+D447</f>
        <v>39858.5</v>
      </c>
      <c r="E442" s="209">
        <f>E443+E445+E446+E447</f>
        <v>41755.2</v>
      </c>
      <c r="F442" s="209">
        <f>F443+F445+F446+F447</f>
        <v>44242.2</v>
      </c>
      <c r="G442" s="209">
        <f>G443+G445+G446+G447</f>
        <v>46667.8</v>
      </c>
    </row>
    <row r="443" spans="1:7" ht="12.75">
      <c r="A443" s="191"/>
      <c r="B443" s="88"/>
      <c r="C443" s="272" t="s">
        <v>620</v>
      </c>
      <c r="D443" s="209">
        <f>'[1]Таблица 6'!D102</f>
        <v>39858.5</v>
      </c>
      <c r="E443" s="209">
        <f>'[1]Таблица 6'!E102</f>
        <v>41755.2</v>
      </c>
      <c r="F443" s="209">
        <f>'[1]Таблица 6'!F102</f>
        <v>44242.2</v>
      </c>
      <c r="G443" s="209">
        <f>'[1]Таблица 6'!G102</f>
        <v>46667.8</v>
      </c>
    </row>
    <row r="444" spans="1:7" ht="12.75">
      <c r="A444" s="191"/>
      <c r="B444" s="88"/>
      <c r="C444" s="273" t="s">
        <v>700</v>
      </c>
      <c r="D444" s="209"/>
      <c r="E444" s="209"/>
      <c r="F444" s="209"/>
      <c r="G444" s="209"/>
    </row>
    <row r="445" spans="1:7" ht="12.75">
      <c r="A445" s="191"/>
      <c r="B445" s="88"/>
      <c r="C445" s="272" t="s">
        <v>627</v>
      </c>
      <c r="D445" s="209"/>
      <c r="E445" s="209"/>
      <c r="F445" s="209"/>
      <c r="G445" s="209"/>
    </row>
    <row r="446" spans="1:7" ht="12.75">
      <c r="A446" s="191"/>
      <c r="B446" s="88"/>
      <c r="C446" s="272" t="s">
        <v>701</v>
      </c>
      <c r="D446" s="209"/>
      <c r="E446" s="209"/>
      <c r="F446" s="209"/>
      <c r="G446" s="209"/>
    </row>
    <row r="447" spans="1:7" ht="12.75">
      <c r="A447" s="191"/>
      <c r="B447" s="88"/>
      <c r="C447" s="272" t="s">
        <v>625</v>
      </c>
      <c r="D447" s="209"/>
      <c r="E447" s="209"/>
      <c r="F447" s="209"/>
      <c r="G447" s="209"/>
    </row>
    <row r="448" spans="1:7" ht="12.75">
      <c r="A448" s="191"/>
      <c r="B448" s="88"/>
      <c r="C448" s="272" t="s">
        <v>626</v>
      </c>
      <c r="D448" s="209"/>
      <c r="E448" s="209"/>
      <c r="F448" s="209"/>
      <c r="G448" s="209"/>
    </row>
    <row r="449" spans="1:7" ht="12.75" customHeight="1">
      <c r="A449" s="191" t="s">
        <v>753</v>
      </c>
      <c r="B449" s="77" t="s">
        <v>555</v>
      </c>
      <c r="C449" s="272" t="s">
        <v>619</v>
      </c>
      <c r="D449" s="209">
        <f>D450+D452+D453+D454</f>
        <v>998.7</v>
      </c>
      <c r="E449" s="209">
        <f>E450+E452+E453+E454</f>
        <v>0</v>
      </c>
      <c r="F449" s="209">
        <f>F450+F452+F453+F454</f>
        <v>0</v>
      </c>
      <c r="G449" s="209">
        <f>G450+G452+G453+G454</f>
        <v>0</v>
      </c>
    </row>
    <row r="450" spans="1:7" ht="12.75">
      <c r="A450" s="191"/>
      <c r="B450" s="77"/>
      <c r="C450" s="272" t="s">
        <v>620</v>
      </c>
      <c r="D450" s="209">
        <f>'[1]Таблица 6'!D103</f>
        <v>998.7</v>
      </c>
      <c r="E450" s="209">
        <f>'[1]Таблица 6'!E103</f>
        <v>0</v>
      </c>
      <c r="F450" s="209">
        <f>'[1]Таблица 6'!F103</f>
        <v>0</v>
      </c>
      <c r="G450" s="209">
        <f>'[1]Таблица 6'!G103</f>
        <v>0</v>
      </c>
    </row>
    <row r="451" spans="1:7" ht="12.75">
      <c r="A451" s="191"/>
      <c r="B451" s="77"/>
      <c r="C451" s="273" t="s">
        <v>700</v>
      </c>
      <c r="D451" s="209">
        <f>'[1]Таблица 6'!D103</f>
        <v>998.7</v>
      </c>
      <c r="E451" s="209">
        <f>'[1]Таблица 6'!E103</f>
        <v>0</v>
      </c>
      <c r="F451" s="209">
        <f>'[1]Таблица 6'!F103</f>
        <v>0</v>
      </c>
      <c r="G451" s="209">
        <f>'[1]Таблица 6'!G103</f>
        <v>0</v>
      </c>
    </row>
    <row r="452" spans="1:7" ht="12.75">
      <c r="A452" s="191"/>
      <c r="B452" s="77"/>
      <c r="C452" s="272" t="s">
        <v>627</v>
      </c>
      <c r="D452" s="209"/>
      <c r="E452" s="209"/>
      <c r="F452" s="209"/>
      <c r="G452" s="209"/>
    </row>
    <row r="453" spans="1:7" ht="12.75">
      <c r="A453" s="191"/>
      <c r="B453" s="77"/>
      <c r="C453" s="272" t="s">
        <v>701</v>
      </c>
      <c r="D453" s="209"/>
      <c r="E453" s="209"/>
      <c r="F453" s="209"/>
      <c r="G453" s="209"/>
    </row>
    <row r="454" spans="1:7" ht="12.75">
      <c r="A454" s="191"/>
      <c r="B454" s="77"/>
      <c r="C454" s="272" t="s">
        <v>625</v>
      </c>
      <c r="D454" s="209"/>
      <c r="E454" s="209"/>
      <c r="F454" s="209"/>
      <c r="G454" s="209"/>
    </row>
    <row r="455" spans="1:7" ht="12.75">
      <c r="A455" s="191"/>
      <c r="B455" s="77"/>
      <c r="C455" s="272" t="s">
        <v>626</v>
      </c>
      <c r="D455" s="209"/>
      <c r="E455" s="209"/>
      <c r="F455" s="209"/>
      <c r="G455" s="209"/>
    </row>
    <row r="456" spans="1:7" ht="12.75" customHeight="1">
      <c r="A456" s="191" t="s">
        <v>754</v>
      </c>
      <c r="B456" s="88" t="s">
        <v>609</v>
      </c>
      <c r="C456" s="272" t="s">
        <v>619</v>
      </c>
      <c r="D456" s="209">
        <f>D457+D459+D460+D461</f>
        <v>8785.5</v>
      </c>
      <c r="E456" s="209">
        <f>E457+E459+E460+E461</f>
        <v>8785.5</v>
      </c>
      <c r="F456" s="209">
        <f>F457+F459+F460+F461</f>
        <v>8785.5</v>
      </c>
      <c r="G456" s="209">
        <f>G457+G459+G460+G461</f>
        <v>8785.5</v>
      </c>
    </row>
    <row r="457" spans="1:7" ht="12.75">
      <c r="A457" s="191"/>
      <c r="B457" s="88"/>
      <c r="C457" s="272" t="s">
        <v>620</v>
      </c>
      <c r="D457" s="209">
        <f>'[1]Таблица 6'!D105</f>
        <v>8785.5</v>
      </c>
      <c r="E457" s="209">
        <f>'[1]Таблица 6'!E105</f>
        <v>8785.5</v>
      </c>
      <c r="F457" s="209">
        <f>'[1]Таблица 6'!F105</f>
        <v>8785.5</v>
      </c>
      <c r="G457" s="209">
        <f>'[1]Таблица 6'!G105</f>
        <v>8785.5</v>
      </c>
    </row>
    <row r="458" spans="1:7" ht="12.75">
      <c r="A458" s="191"/>
      <c r="B458" s="88"/>
      <c r="C458" s="273" t="s">
        <v>700</v>
      </c>
      <c r="D458" s="209"/>
      <c r="E458" s="209"/>
      <c r="F458" s="209"/>
      <c r="G458" s="209"/>
    </row>
    <row r="459" spans="1:7" ht="12.75">
      <c r="A459" s="191"/>
      <c r="B459" s="88"/>
      <c r="C459" s="272" t="s">
        <v>627</v>
      </c>
      <c r="D459" s="209"/>
      <c r="E459" s="209"/>
      <c r="F459" s="209"/>
      <c r="G459" s="209"/>
    </row>
    <row r="460" spans="1:7" ht="12.75">
      <c r="A460" s="191"/>
      <c r="B460" s="88"/>
      <c r="C460" s="272" t="s">
        <v>701</v>
      </c>
      <c r="D460" s="209"/>
      <c r="E460" s="209"/>
      <c r="F460" s="209"/>
      <c r="G460" s="209"/>
    </row>
    <row r="461" spans="1:7" ht="12.75">
      <c r="A461" s="191"/>
      <c r="B461" s="88"/>
      <c r="C461" s="272" t="s">
        <v>625</v>
      </c>
      <c r="D461" s="209"/>
      <c r="E461" s="209"/>
      <c r="F461" s="209"/>
      <c r="G461" s="209"/>
    </row>
    <row r="462" spans="1:7" ht="12.75">
      <c r="A462" s="191"/>
      <c r="B462" s="88"/>
      <c r="C462" s="272" t="s">
        <v>626</v>
      </c>
      <c r="D462" s="209"/>
      <c r="E462" s="209"/>
      <c r="F462" s="209"/>
      <c r="G462" s="209"/>
    </row>
    <row r="463" spans="1:7" ht="12.75" customHeight="1">
      <c r="A463" s="191" t="s">
        <v>610</v>
      </c>
      <c r="B463" s="88" t="s">
        <v>560</v>
      </c>
      <c r="C463" s="272" t="s">
        <v>619</v>
      </c>
      <c r="D463" s="209">
        <f>D464+D466+D467+D468</f>
        <v>0</v>
      </c>
      <c r="E463" s="209">
        <f>E464+E466+E467+E468</f>
        <v>19496</v>
      </c>
      <c r="F463" s="209">
        <f>F464+F466+F467+F468</f>
        <v>63985</v>
      </c>
      <c r="G463" s="209">
        <f>G464+G466+G467+G468</f>
        <v>63985</v>
      </c>
    </row>
    <row r="464" spans="1:7" ht="12.75">
      <c r="A464" s="191"/>
      <c r="B464" s="88"/>
      <c r="C464" s="272" t="s">
        <v>620</v>
      </c>
      <c r="D464" s="209">
        <f>'[1]Таблица 6'!D106+'[1]Таблица 6'!D107</f>
        <v>0</v>
      </c>
      <c r="E464" s="209">
        <f>'[1]Таблица 6'!E106+'[1]Таблица 6'!E107</f>
        <v>19496</v>
      </c>
      <c r="F464" s="209">
        <f>'[1]Таблица 6'!F106+'[1]Таблица 6'!F107</f>
        <v>63985</v>
      </c>
      <c r="G464" s="209">
        <f>'[1]Таблица 6'!G106+'[1]Таблица 6'!G107</f>
        <v>63985</v>
      </c>
    </row>
    <row r="465" spans="1:7" ht="12.75">
      <c r="A465" s="191"/>
      <c r="B465" s="88"/>
      <c r="C465" s="273" t="s">
        <v>700</v>
      </c>
      <c r="D465" s="209"/>
      <c r="E465" s="209"/>
      <c r="F465" s="209"/>
      <c r="G465" s="209"/>
    </row>
    <row r="466" spans="1:7" ht="12.75">
      <c r="A466" s="191"/>
      <c r="B466" s="88"/>
      <c r="C466" s="272" t="s">
        <v>627</v>
      </c>
      <c r="D466" s="209"/>
      <c r="E466" s="209"/>
      <c r="F466" s="209"/>
      <c r="G466" s="209"/>
    </row>
    <row r="467" spans="1:7" ht="12.75">
      <c r="A467" s="191"/>
      <c r="B467" s="88"/>
      <c r="C467" s="272" t="s">
        <v>701</v>
      </c>
      <c r="D467" s="209"/>
      <c r="E467" s="209"/>
      <c r="F467" s="209"/>
      <c r="G467" s="209"/>
    </row>
    <row r="468" spans="1:7" ht="12.75">
      <c r="A468" s="191"/>
      <c r="B468" s="88"/>
      <c r="C468" s="272" t="s">
        <v>625</v>
      </c>
      <c r="D468" s="209"/>
      <c r="E468" s="209"/>
      <c r="F468" s="209"/>
      <c r="G468" s="209"/>
    </row>
    <row r="469" spans="1:7" ht="12.75">
      <c r="A469" s="191"/>
      <c r="B469" s="88"/>
      <c r="C469" s="272" t="s">
        <v>626</v>
      </c>
      <c r="D469" s="209"/>
      <c r="E469" s="209"/>
      <c r="F469" s="209"/>
      <c r="G469" s="209"/>
    </row>
    <row r="470" spans="1:7" ht="12.75" customHeight="1">
      <c r="A470" s="205" t="s">
        <v>561</v>
      </c>
      <c r="B470" s="275" t="s">
        <v>562</v>
      </c>
      <c r="C470" s="207" t="s">
        <v>619</v>
      </c>
      <c r="D470" s="221">
        <f>D471+D473+D474+D475</f>
        <v>133144.195</v>
      </c>
      <c r="E470" s="221">
        <f>E471+E473+E474+E475</f>
        <v>131250.21</v>
      </c>
      <c r="F470" s="221">
        <f>F471+F473+F474+F475</f>
        <v>131560.18</v>
      </c>
      <c r="G470" s="221">
        <f>G471+G473+G474+G475</f>
        <v>131865.63</v>
      </c>
    </row>
    <row r="471" spans="1:7" ht="12.75">
      <c r="A471" s="205"/>
      <c r="B471" s="275"/>
      <c r="C471" s="207" t="s">
        <v>620</v>
      </c>
      <c r="D471" s="221">
        <f>D478+D485+D492+D499+D506+D513+D520</f>
        <v>133144.195</v>
      </c>
      <c r="E471" s="221">
        <f>E478+E485+E492+E499+E506+E513+E520</f>
        <v>131250.21</v>
      </c>
      <c r="F471" s="221">
        <f>F478+F485+F492+F499+F506+F513+F520</f>
        <v>131560.18</v>
      </c>
      <c r="G471" s="221">
        <f>G478+G485+G492+G499+G506+G513+G520</f>
        <v>131865.63</v>
      </c>
    </row>
    <row r="472" spans="1:7" ht="12.75">
      <c r="A472" s="205"/>
      <c r="B472" s="275"/>
      <c r="C472" s="207" t="s">
        <v>700</v>
      </c>
      <c r="D472" s="221">
        <f aca="true" t="shared" si="3" ref="D472:G475">D479+D493+D507+D514+D521</f>
        <v>0</v>
      </c>
      <c r="E472" s="221">
        <f t="shared" si="3"/>
        <v>0</v>
      </c>
      <c r="F472" s="221">
        <f t="shared" si="3"/>
        <v>0</v>
      </c>
      <c r="G472" s="221">
        <f t="shared" si="3"/>
        <v>0</v>
      </c>
    </row>
    <row r="473" spans="1:7" ht="12.75">
      <c r="A473" s="205"/>
      <c r="B473" s="275"/>
      <c r="C473" s="207" t="s">
        <v>627</v>
      </c>
      <c r="D473" s="221">
        <f t="shared" si="3"/>
        <v>0</v>
      </c>
      <c r="E473" s="221">
        <f t="shared" si="3"/>
        <v>0</v>
      </c>
      <c r="F473" s="221">
        <f t="shared" si="3"/>
        <v>0</v>
      </c>
      <c r="G473" s="221">
        <f t="shared" si="3"/>
        <v>0</v>
      </c>
    </row>
    <row r="474" spans="1:7" ht="12.75">
      <c r="A474" s="205"/>
      <c r="B474" s="275"/>
      <c r="C474" s="207" t="s">
        <v>701</v>
      </c>
      <c r="D474" s="221">
        <f t="shared" si="3"/>
        <v>0</v>
      </c>
      <c r="E474" s="221">
        <f t="shared" si="3"/>
        <v>0</v>
      </c>
      <c r="F474" s="221">
        <f t="shared" si="3"/>
        <v>0</v>
      </c>
      <c r="G474" s="221">
        <f t="shared" si="3"/>
        <v>0</v>
      </c>
    </row>
    <row r="475" spans="1:7" ht="12.75">
      <c r="A475" s="205"/>
      <c r="B475" s="275"/>
      <c r="C475" s="207" t="s">
        <v>625</v>
      </c>
      <c r="D475" s="221">
        <f t="shared" si="3"/>
        <v>0</v>
      </c>
      <c r="E475" s="221">
        <f t="shared" si="3"/>
        <v>0</v>
      </c>
      <c r="F475" s="221">
        <f t="shared" si="3"/>
        <v>0</v>
      </c>
      <c r="G475" s="221">
        <f t="shared" si="3"/>
        <v>0</v>
      </c>
    </row>
    <row r="476" spans="1:7" ht="12.75">
      <c r="A476" s="205"/>
      <c r="B476" s="275"/>
      <c r="C476" s="207" t="s">
        <v>626</v>
      </c>
      <c r="D476" s="221">
        <f>D483+D497+D511+D518+D526</f>
        <v>0</v>
      </c>
      <c r="E476" s="221">
        <f>E483+E497+E511+E518+E526</f>
        <v>0</v>
      </c>
      <c r="F476" s="221">
        <f>F483+F497+F511+F518+F526</f>
        <v>0</v>
      </c>
      <c r="G476" s="221">
        <v>0</v>
      </c>
    </row>
    <row r="477" spans="1:7" ht="12.75" customHeight="1">
      <c r="A477" s="191" t="s">
        <v>563</v>
      </c>
      <c r="B477" s="105" t="s">
        <v>611</v>
      </c>
      <c r="C477" s="272" t="s">
        <v>619</v>
      </c>
      <c r="D477" s="209">
        <f>D478+D480+D481+D482</f>
        <v>104686.02815</v>
      </c>
      <c r="E477" s="209">
        <f>E478+E480+E481+E482</f>
        <v>105313.88</v>
      </c>
      <c r="F477" s="209">
        <f>F478+F480+F481+F482</f>
        <v>105565.65</v>
      </c>
      <c r="G477" s="209">
        <f>G478+G480+G481+G482</f>
        <v>105813.6</v>
      </c>
    </row>
    <row r="478" spans="1:7" ht="12.75">
      <c r="A478" s="191"/>
      <c r="B478" s="105"/>
      <c r="C478" s="272" t="s">
        <v>620</v>
      </c>
      <c r="D478" s="209">
        <f>'[1]Таблица 6'!D110</f>
        <v>104686.02815</v>
      </c>
      <c r="E478" s="209">
        <f>'[1]Таблица 6'!E110</f>
        <v>105313.88</v>
      </c>
      <c r="F478" s="209">
        <f>'[1]Таблица 6'!F110</f>
        <v>105565.65</v>
      </c>
      <c r="G478" s="209">
        <f>'[1]Таблица 6'!G110</f>
        <v>105813.6</v>
      </c>
    </row>
    <row r="479" spans="1:7" ht="12.75">
      <c r="A479" s="191"/>
      <c r="B479" s="105"/>
      <c r="C479" s="273" t="s">
        <v>700</v>
      </c>
      <c r="D479" s="209"/>
      <c r="E479" s="209"/>
      <c r="F479" s="209"/>
      <c r="G479" s="209"/>
    </row>
    <row r="480" spans="1:7" ht="12.75">
      <c r="A480" s="191"/>
      <c r="B480" s="105"/>
      <c r="C480" s="272" t="s">
        <v>627</v>
      </c>
      <c r="D480" s="209"/>
      <c r="E480" s="209"/>
      <c r="F480" s="209"/>
      <c r="G480" s="209"/>
    </row>
    <row r="481" spans="1:7" ht="12.75">
      <c r="A481" s="191"/>
      <c r="B481" s="105"/>
      <c r="C481" s="272" t="s">
        <v>701</v>
      </c>
      <c r="D481" s="209"/>
      <c r="E481" s="209"/>
      <c r="F481" s="209"/>
      <c r="G481" s="209"/>
    </row>
    <row r="482" spans="1:7" ht="12.75">
      <c r="A482" s="191"/>
      <c r="B482" s="105"/>
      <c r="C482" s="272" t="s">
        <v>625</v>
      </c>
      <c r="D482" s="209"/>
      <c r="E482" s="209"/>
      <c r="F482" s="209"/>
      <c r="G482" s="209"/>
    </row>
    <row r="483" spans="1:7" ht="12.75">
      <c r="A483" s="191"/>
      <c r="B483" s="105"/>
      <c r="C483" s="272" t="s">
        <v>626</v>
      </c>
      <c r="D483" s="209"/>
      <c r="E483" s="209"/>
      <c r="F483" s="209"/>
      <c r="G483" s="209"/>
    </row>
    <row r="484" spans="1:7" ht="12.75" customHeight="1">
      <c r="A484" s="191" t="s">
        <v>565</v>
      </c>
      <c r="B484" s="105" t="s">
        <v>612</v>
      </c>
      <c r="C484" s="272" t="s">
        <v>619</v>
      </c>
      <c r="D484" s="209">
        <f>D485+D487+D488+D489</f>
        <v>21648.566850000003</v>
      </c>
      <c r="E484" s="209">
        <f>E485+E487+E488+E489</f>
        <v>19895.53</v>
      </c>
      <c r="F484" s="209">
        <f>F485+F487+F488+F489</f>
        <v>19953.73</v>
      </c>
      <c r="G484" s="209">
        <f>G485+G487+G488+G489</f>
        <v>20011.23</v>
      </c>
    </row>
    <row r="485" spans="1:7" ht="12.75">
      <c r="A485" s="191"/>
      <c r="B485" s="105"/>
      <c r="C485" s="272" t="s">
        <v>620</v>
      </c>
      <c r="D485" s="209">
        <f>'[1]Таблица 6'!D111</f>
        <v>21648.566850000003</v>
      </c>
      <c r="E485" s="209">
        <f>'[1]Таблица 6'!E111</f>
        <v>19895.53</v>
      </c>
      <c r="F485" s="209">
        <f>'[1]Таблица 6'!F111</f>
        <v>19953.73</v>
      </c>
      <c r="G485" s="209">
        <f>'[1]Таблица 6'!G111</f>
        <v>20011.23</v>
      </c>
    </row>
    <row r="486" spans="1:7" ht="12.75">
      <c r="A486" s="191"/>
      <c r="B486" s="105"/>
      <c r="C486" s="273" t="s">
        <v>700</v>
      </c>
      <c r="D486" s="209"/>
      <c r="E486" s="209"/>
      <c r="F486" s="209"/>
      <c r="G486" s="209"/>
    </row>
    <row r="487" spans="1:7" ht="12.75">
      <c r="A487" s="191"/>
      <c r="B487" s="105"/>
      <c r="C487" s="272" t="s">
        <v>627</v>
      </c>
      <c r="D487" s="209"/>
      <c r="E487" s="209"/>
      <c r="F487" s="209"/>
      <c r="G487" s="209"/>
    </row>
    <row r="488" spans="1:7" ht="12.75">
      <c r="A488" s="191"/>
      <c r="B488" s="105"/>
      <c r="C488" s="272" t="s">
        <v>701</v>
      </c>
      <c r="D488" s="209"/>
      <c r="E488" s="209"/>
      <c r="F488" s="209"/>
      <c r="G488" s="209"/>
    </row>
    <row r="489" spans="1:7" ht="12.75">
      <c r="A489" s="191"/>
      <c r="B489" s="105"/>
      <c r="C489" s="272" t="s">
        <v>625</v>
      </c>
      <c r="D489" s="209"/>
      <c r="E489" s="209"/>
      <c r="F489" s="209"/>
      <c r="G489" s="209"/>
    </row>
    <row r="490" spans="1:7" ht="12.75">
      <c r="A490" s="191"/>
      <c r="B490" s="105"/>
      <c r="C490" s="272" t="s">
        <v>626</v>
      </c>
      <c r="D490" s="209"/>
      <c r="E490" s="209"/>
      <c r="F490" s="209"/>
      <c r="G490" s="209"/>
    </row>
    <row r="491" spans="1:7" ht="12.75" customHeight="1">
      <c r="A491" s="191" t="s">
        <v>567</v>
      </c>
      <c r="B491" s="77" t="s">
        <v>566</v>
      </c>
      <c r="C491" s="272" t="s">
        <v>619</v>
      </c>
      <c r="D491" s="209">
        <f>D492+D494+D495+D496</f>
        <v>5724.6</v>
      </c>
      <c r="E491" s="209">
        <f>E492+E494+E495+E496</f>
        <v>4975.7</v>
      </c>
      <c r="F491" s="209">
        <f>F492+F494+F495+F496</f>
        <v>4975.7</v>
      </c>
      <c r="G491" s="209">
        <f>G492+G494+G495+G496</f>
        <v>4975.7</v>
      </c>
    </row>
    <row r="492" spans="1:7" ht="12.75">
      <c r="A492" s="191"/>
      <c r="B492" s="77"/>
      <c r="C492" s="272" t="s">
        <v>620</v>
      </c>
      <c r="D492" s="209">
        <f>'[1]Таблица 6'!D112</f>
        <v>5724.6</v>
      </c>
      <c r="E492" s="209">
        <f>'[1]Таблица 6'!E112</f>
        <v>4975.7</v>
      </c>
      <c r="F492" s="209">
        <f>'[1]Таблица 6'!F112</f>
        <v>4975.7</v>
      </c>
      <c r="G492" s="209">
        <f>'[1]Таблица 6'!G112</f>
        <v>4975.7</v>
      </c>
    </row>
    <row r="493" spans="1:7" ht="12.75">
      <c r="A493" s="191"/>
      <c r="B493" s="77"/>
      <c r="C493" s="273" t="s">
        <v>700</v>
      </c>
      <c r="D493" s="209"/>
      <c r="E493" s="209"/>
      <c r="F493" s="209"/>
      <c r="G493" s="209"/>
    </row>
    <row r="494" spans="1:7" ht="12.75">
      <c r="A494" s="191"/>
      <c r="B494" s="77"/>
      <c r="C494" s="272" t="s">
        <v>627</v>
      </c>
      <c r="D494" s="209"/>
      <c r="E494" s="209"/>
      <c r="F494" s="209"/>
      <c r="G494" s="209"/>
    </row>
    <row r="495" spans="1:7" ht="12.75">
      <c r="A495" s="191"/>
      <c r="B495" s="77"/>
      <c r="C495" s="272" t="s">
        <v>701</v>
      </c>
      <c r="D495" s="209"/>
      <c r="E495" s="209"/>
      <c r="F495" s="209"/>
      <c r="G495" s="209"/>
    </row>
    <row r="496" spans="1:7" ht="12.75">
      <c r="A496" s="191"/>
      <c r="B496" s="77"/>
      <c r="C496" s="272" t="s">
        <v>625</v>
      </c>
      <c r="D496" s="209"/>
      <c r="E496" s="209"/>
      <c r="F496" s="209"/>
      <c r="G496" s="209"/>
    </row>
    <row r="497" spans="1:7" ht="12.75">
      <c r="A497" s="191"/>
      <c r="B497" s="77"/>
      <c r="C497" s="272" t="s">
        <v>626</v>
      </c>
      <c r="D497" s="209"/>
      <c r="E497" s="209"/>
      <c r="F497" s="209"/>
      <c r="G497" s="209"/>
    </row>
    <row r="498" spans="1:7" ht="12.75" customHeight="1">
      <c r="A498" s="191" t="s">
        <v>569</v>
      </c>
      <c r="B498" s="87" t="s">
        <v>568</v>
      </c>
      <c r="C498" s="272" t="s">
        <v>619</v>
      </c>
      <c r="D498" s="193">
        <v>1085</v>
      </c>
      <c r="E498" s="193">
        <v>1065.1</v>
      </c>
      <c r="F498" s="193">
        <v>1065.1</v>
      </c>
      <c r="G498" s="193">
        <v>1065.1</v>
      </c>
    </row>
    <row r="499" spans="1:7" ht="12.75">
      <c r="A499" s="191"/>
      <c r="B499" s="87"/>
      <c r="C499" s="272" t="s">
        <v>620</v>
      </c>
      <c r="D499" s="193">
        <v>1085</v>
      </c>
      <c r="E499" s="193">
        <v>1065.1</v>
      </c>
      <c r="F499" s="193">
        <v>1065.1</v>
      </c>
      <c r="G499" s="193">
        <v>1065.1</v>
      </c>
    </row>
    <row r="500" spans="1:7" ht="12.75">
      <c r="A500" s="191"/>
      <c r="B500" s="87"/>
      <c r="C500" s="273" t="s">
        <v>700</v>
      </c>
      <c r="D500" s="193"/>
      <c r="E500" s="193"/>
      <c r="F500" s="193"/>
      <c r="G500" s="193"/>
    </row>
    <row r="501" spans="1:7" ht="12.75">
      <c r="A501" s="191"/>
      <c r="B501" s="87"/>
      <c r="C501" s="272" t="s">
        <v>627</v>
      </c>
      <c r="D501" s="193"/>
      <c r="E501" s="193"/>
      <c r="F501" s="193"/>
      <c r="G501" s="193"/>
    </row>
    <row r="502" spans="1:7" ht="12.75">
      <c r="A502" s="191"/>
      <c r="B502" s="87"/>
      <c r="C502" s="272" t="s">
        <v>701</v>
      </c>
      <c r="D502" s="193"/>
      <c r="E502" s="193"/>
      <c r="F502" s="193"/>
      <c r="G502" s="193"/>
    </row>
    <row r="503" spans="1:7" ht="12.75">
      <c r="A503" s="191"/>
      <c r="B503" s="87"/>
      <c r="C503" s="272" t="s">
        <v>625</v>
      </c>
      <c r="D503" s="193"/>
      <c r="E503" s="193"/>
      <c r="F503" s="193"/>
      <c r="G503" s="193"/>
    </row>
    <row r="504" spans="1:7" ht="12.75">
      <c r="A504" s="191"/>
      <c r="B504" s="87"/>
      <c r="C504" s="272" t="s">
        <v>626</v>
      </c>
      <c r="D504" s="193"/>
      <c r="E504" s="193"/>
      <c r="F504" s="193"/>
      <c r="G504" s="193"/>
    </row>
    <row r="505" spans="1:7" ht="12.75" customHeight="1">
      <c r="A505" s="191" t="s">
        <v>613</v>
      </c>
      <c r="B505" s="77" t="s">
        <v>570</v>
      </c>
      <c r="C505" s="272" t="s">
        <v>619</v>
      </c>
      <c r="D505" s="209">
        <f>D506+D508+D509+D510</f>
        <v>0</v>
      </c>
      <c r="E505" s="209">
        <f>E506+E508+E509+E510</f>
        <v>0</v>
      </c>
      <c r="F505" s="209">
        <f>F506+F508+F509+F510</f>
        <v>0</v>
      </c>
      <c r="G505" s="209">
        <f>G506+G508+G509+G510</f>
        <v>0</v>
      </c>
    </row>
    <row r="506" spans="1:7" ht="12.75">
      <c r="A506" s="191"/>
      <c r="B506" s="77"/>
      <c r="C506" s="272" t="s">
        <v>620</v>
      </c>
      <c r="D506" s="209"/>
      <c r="E506" s="209"/>
      <c r="F506" s="209"/>
      <c r="G506" s="209"/>
    </row>
    <row r="507" spans="1:7" ht="12.75">
      <c r="A507" s="191"/>
      <c r="B507" s="77"/>
      <c r="C507" s="273" t="s">
        <v>700</v>
      </c>
      <c r="D507" s="209"/>
      <c r="E507" s="209"/>
      <c r="F507" s="209"/>
      <c r="G507" s="209"/>
    </row>
    <row r="508" spans="1:7" ht="12.75">
      <c r="A508" s="191"/>
      <c r="B508" s="77"/>
      <c r="C508" s="272" t="s">
        <v>627</v>
      </c>
      <c r="D508" s="209"/>
      <c r="E508" s="209"/>
      <c r="F508" s="209"/>
      <c r="G508" s="209"/>
    </row>
    <row r="509" spans="1:7" ht="12.75">
      <c r="A509" s="191"/>
      <c r="B509" s="77"/>
      <c r="C509" s="272" t="s">
        <v>701</v>
      </c>
      <c r="D509" s="209"/>
      <c r="E509" s="209"/>
      <c r="F509" s="209"/>
      <c r="G509" s="209"/>
    </row>
    <row r="510" spans="1:7" ht="12.75">
      <c r="A510" s="191"/>
      <c r="B510" s="77"/>
      <c r="C510" s="272" t="s">
        <v>625</v>
      </c>
      <c r="D510" s="209"/>
      <c r="E510" s="209"/>
      <c r="F510" s="209"/>
      <c r="G510" s="209"/>
    </row>
    <row r="511" spans="1:7" ht="12.75">
      <c r="A511" s="191"/>
      <c r="B511" s="77"/>
      <c r="C511" s="272" t="s">
        <v>626</v>
      </c>
      <c r="D511" s="209"/>
      <c r="E511" s="209"/>
      <c r="F511" s="209"/>
      <c r="G511" s="209"/>
    </row>
    <row r="512" spans="1:7" ht="12.75" customHeight="1">
      <c r="A512" s="191" t="s">
        <v>571</v>
      </c>
      <c r="B512" s="77" t="s">
        <v>572</v>
      </c>
      <c r="C512" s="272" t="s">
        <v>619</v>
      </c>
      <c r="D512" s="209">
        <f>D513+D515+D516+D517</f>
        <v>0</v>
      </c>
      <c r="E512" s="209">
        <f>E513+E515+E516+E517</f>
        <v>0</v>
      </c>
      <c r="F512" s="209">
        <f>F513+F515+F516+F517</f>
        <v>0</v>
      </c>
      <c r="G512" s="209">
        <f>G513+G515+G516+G517</f>
        <v>0</v>
      </c>
    </row>
    <row r="513" spans="1:7" ht="12.75">
      <c r="A513" s="191"/>
      <c r="B513" s="77"/>
      <c r="C513" s="272" t="s">
        <v>620</v>
      </c>
      <c r="D513" s="209"/>
      <c r="E513" s="209"/>
      <c r="F513" s="209"/>
      <c r="G513" s="209"/>
    </row>
    <row r="514" spans="1:7" ht="12.75">
      <c r="A514" s="191"/>
      <c r="B514" s="77"/>
      <c r="C514" s="273" t="s">
        <v>700</v>
      </c>
      <c r="D514" s="209"/>
      <c r="E514" s="209"/>
      <c r="F514" s="209"/>
      <c r="G514" s="209"/>
    </row>
    <row r="515" spans="1:7" ht="12.75">
      <c r="A515" s="191"/>
      <c r="B515" s="77"/>
      <c r="C515" s="272" t="s">
        <v>627</v>
      </c>
      <c r="D515" s="209"/>
      <c r="E515" s="209"/>
      <c r="F515" s="209"/>
      <c r="G515" s="209"/>
    </row>
    <row r="516" spans="1:7" ht="12.75">
      <c r="A516" s="191"/>
      <c r="B516" s="77"/>
      <c r="C516" s="272" t="s">
        <v>701</v>
      </c>
      <c r="D516" s="209"/>
      <c r="E516" s="209"/>
      <c r="F516" s="209"/>
      <c r="G516" s="209"/>
    </row>
    <row r="517" spans="1:7" ht="12.75">
      <c r="A517" s="191"/>
      <c r="B517" s="77"/>
      <c r="C517" s="272" t="s">
        <v>625</v>
      </c>
      <c r="D517" s="209"/>
      <c r="E517" s="209"/>
      <c r="F517" s="209"/>
      <c r="G517" s="209"/>
    </row>
    <row r="518" spans="1:7" ht="12.75">
      <c r="A518" s="191"/>
      <c r="B518" s="77"/>
      <c r="C518" s="272" t="s">
        <v>626</v>
      </c>
      <c r="D518" s="209"/>
      <c r="E518" s="209"/>
      <c r="F518" s="209"/>
      <c r="G518" s="209"/>
    </row>
    <row r="519" spans="1:7" ht="12.75" customHeight="1">
      <c r="A519" s="191" t="s">
        <v>573</v>
      </c>
      <c r="B519" s="77" t="s">
        <v>574</v>
      </c>
      <c r="C519" s="272" t="s">
        <v>619</v>
      </c>
      <c r="D519" s="209">
        <f>D520+D522+D523+D524</f>
        <v>0</v>
      </c>
      <c r="E519" s="209">
        <f>E520+E522+E523+E524</f>
        <v>0</v>
      </c>
      <c r="F519" s="209">
        <f>F520+F522+F523+F524</f>
        <v>0</v>
      </c>
      <c r="G519" s="209">
        <f>G520+G522+G523+G524</f>
        <v>0</v>
      </c>
    </row>
    <row r="520" spans="1:7" ht="12.75">
      <c r="A520" s="191"/>
      <c r="B520" s="77"/>
      <c r="C520" s="272" t="s">
        <v>620</v>
      </c>
      <c r="D520" s="209"/>
      <c r="E520" s="209"/>
      <c r="F520" s="209"/>
      <c r="G520" s="209"/>
    </row>
    <row r="521" spans="1:7" ht="12.75">
      <c r="A521" s="191"/>
      <c r="B521" s="77"/>
      <c r="C521" s="273" t="s">
        <v>700</v>
      </c>
      <c r="D521" s="209"/>
      <c r="E521" s="209"/>
      <c r="F521" s="209"/>
      <c r="G521" s="209"/>
    </row>
    <row r="522" spans="1:7" ht="12.75">
      <c r="A522" s="191"/>
      <c r="B522" s="77"/>
      <c r="C522" s="272" t="s">
        <v>627</v>
      </c>
      <c r="D522" s="209"/>
      <c r="E522" s="209"/>
      <c r="F522" s="209"/>
      <c r="G522" s="209"/>
    </row>
    <row r="523" spans="1:7" ht="12.75">
      <c r="A523" s="191"/>
      <c r="B523" s="77"/>
      <c r="C523" s="272" t="s">
        <v>701</v>
      </c>
      <c r="D523" s="209"/>
      <c r="E523" s="209"/>
      <c r="F523" s="209"/>
      <c r="G523" s="209"/>
    </row>
    <row r="524" spans="1:7" ht="12.75">
      <c r="A524" s="191"/>
      <c r="B524" s="77"/>
      <c r="C524" s="276" t="s">
        <v>625</v>
      </c>
      <c r="D524" s="230"/>
      <c r="E524" s="230"/>
      <c r="F524" s="230"/>
      <c r="G524" s="230"/>
    </row>
    <row r="525" spans="1:11" s="164" customFormat="1" ht="12.75">
      <c r="A525" s="191"/>
      <c r="B525" s="77"/>
      <c r="C525" s="272" t="s">
        <v>755</v>
      </c>
      <c r="D525" s="209"/>
      <c r="E525" s="209"/>
      <c r="F525" s="209"/>
      <c r="G525" s="209"/>
      <c r="H525" s="277"/>
      <c r="I525" s="277"/>
      <c r="J525" s="277"/>
      <c r="K525" s="277"/>
    </row>
    <row r="526" spans="1:11" s="282" customFormat="1" ht="13.5">
      <c r="A526" s="191"/>
      <c r="B526" s="77"/>
      <c r="C526" s="278"/>
      <c r="D526" s="279"/>
      <c r="E526" s="279"/>
      <c r="F526" s="279"/>
      <c r="G526" s="280" t="s">
        <v>756</v>
      </c>
      <c r="H526" s="281"/>
      <c r="I526" s="281"/>
      <c r="J526" s="281"/>
      <c r="K526" s="281"/>
    </row>
  </sheetData>
  <sheetProtection selectLockedCells="1" selectUnlockedCells="1"/>
  <mergeCells count="155">
    <mergeCell ref="E1:G1"/>
    <mergeCell ref="E2:G2"/>
    <mergeCell ref="A3:G3"/>
    <mergeCell ref="A5:A6"/>
    <mergeCell ref="B5:B6"/>
    <mergeCell ref="C5:C6"/>
    <mergeCell ref="D5:G5"/>
    <mergeCell ref="A8:A14"/>
    <mergeCell ref="B8:B14"/>
    <mergeCell ref="A15:A21"/>
    <mergeCell ref="B15:B21"/>
    <mergeCell ref="A22:A28"/>
    <mergeCell ref="B22:B28"/>
    <mergeCell ref="A29:A35"/>
    <mergeCell ref="B29:B35"/>
    <mergeCell ref="A36:A42"/>
    <mergeCell ref="B36:B42"/>
    <mergeCell ref="A43:A49"/>
    <mergeCell ref="B43:B49"/>
    <mergeCell ref="A50:A56"/>
    <mergeCell ref="B50:B56"/>
    <mergeCell ref="A57:A63"/>
    <mergeCell ref="B57:B63"/>
    <mergeCell ref="A64:A70"/>
    <mergeCell ref="B64:B70"/>
    <mergeCell ref="A71:A77"/>
    <mergeCell ref="B71:B77"/>
    <mergeCell ref="A78:A84"/>
    <mergeCell ref="B78:B84"/>
    <mergeCell ref="A85:A91"/>
    <mergeCell ref="B85:B91"/>
    <mergeCell ref="A92:A98"/>
    <mergeCell ref="B92:B98"/>
    <mergeCell ref="A99:A105"/>
    <mergeCell ref="B99:B105"/>
    <mergeCell ref="A106:A112"/>
    <mergeCell ref="B106:B112"/>
    <mergeCell ref="A113:A119"/>
    <mergeCell ref="B113:B119"/>
    <mergeCell ref="A120:A126"/>
    <mergeCell ref="B120:B126"/>
    <mergeCell ref="A127:A133"/>
    <mergeCell ref="B127:B133"/>
    <mergeCell ref="A134:A140"/>
    <mergeCell ref="B134:B140"/>
    <mergeCell ref="A141:A147"/>
    <mergeCell ref="B141:B147"/>
    <mergeCell ref="A148:A154"/>
    <mergeCell ref="B148:B154"/>
    <mergeCell ref="A155:A161"/>
    <mergeCell ref="B155:B161"/>
    <mergeCell ref="A162:A168"/>
    <mergeCell ref="B162:B168"/>
    <mergeCell ref="A169:A175"/>
    <mergeCell ref="B169:B175"/>
    <mergeCell ref="A176:A182"/>
    <mergeCell ref="B176:B182"/>
    <mergeCell ref="A183:A189"/>
    <mergeCell ref="B183:B189"/>
    <mergeCell ref="A190:A196"/>
    <mergeCell ref="B190:B196"/>
    <mergeCell ref="A197:A203"/>
    <mergeCell ref="B197:B203"/>
    <mergeCell ref="A204:A210"/>
    <mergeCell ref="B204:B210"/>
    <mergeCell ref="A211:A217"/>
    <mergeCell ref="B211:B217"/>
    <mergeCell ref="A218:A224"/>
    <mergeCell ref="B218:B224"/>
    <mergeCell ref="A225:A231"/>
    <mergeCell ref="B225:B231"/>
    <mergeCell ref="A232:A238"/>
    <mergeCell ref="B232:B238"/>
    <mergeCell ref="A239:A245"/>
    <mergeCell ref="B239:B245"/>
    <mergeCell ref="A246:A252"/>
    <mergeCell ref="B246:B252"/>
    <mergeCell ref="A253:A259"/>
    <mergeCell ref="B253:B259"/>
    <mergeCell ref="A260:A266"/>
    <mergeCell ref="B260:B266"/>
    <mergeCell ref="A267:A273"/>
    <mergeCell ref="B267:B273"/>
    <mergeCell ref="A274:A280"/>
    <mergeCell ref="B274:B280"/>
    <mergeCell ref="A281:A287"/>
    <mergeCell ref="B281:B287"/>
    <mergeCell ref="A288:A294"/>
    <mergeCell ref="B288:B294"/>
    <mergeCell ref="A295:A301"/>
    <mergeCell ref="B295:B301"/>
    <mergeCell ref="A302:A308"/>
    <mergeCell ref="B302:B308"/>
    <mergeCell ref="A309:A315"/>
    <mergeCell ref="B309:B315"/>
    <mergeCell ref="A316:A322"/>
    <mergeCell ref="B316:B322"/>
    <mergeCell ref="A323:A329"/>
    <mergeCell ref="B323:B329"/>
    <mergeCell ref="A330:A336"/>
    <mergeCell ref="B330:B336"/>
    <mergeCell ref="A337:A343"/>
    <mergeCell ref="B337:B343"/>
    <mergeCell ref="A344:A350"/>
    <mergeCell ref="B344:B350"/>
    <mergeCell ref="A351:A357"/>
    <mergeCell ref="B351:B357"/>
    <mergeCell ref="A358:A364"/>
    <mergeCell ref="B358:B364"/>
    <mergeCell ref="A365:A371"/>
    <mergeCell ref="B365:B371"/>
    <mergeCell ref="A372:A378"/>
    <mergeCell ref="B372:B378"/>
    <mergeCell ref="A379:A385"/>
    <mergeCell ref="B379:B385"/>
    <mergeCell ref="A386:A392"/>
    <mergeCell ref="B386:B392"/>
    <mergeCell ref="A393:A399"/>
    <mergeCell ref="B393:B399"/>
    <mergeCell ref="A400:A406"/>
    <mergeCell ref="B400:B406"/>
    <mergeCell ref="A407:A413"/>
    <mergeCell ref="B407:B413"/>
    <mergeCell ref="A414:A420"/>
    <mergeCell ref="B414:B420"/>
    <mergeCell ref="A421:A427"/>
    <mergeCell ref="B421:B427"/>
    <mergeCell ref="A428:A434"/>
    <mergeCell ref="B428:B434"/>
    <mergeCell ref="A435:A441"/>
    <mergeCell ref="B435:B441"/>
    <mergeCell ref="A442:A448"/>
    <mergeCell ref="B442:B448"/>
    <mergeCell ref="A449:A455"/>
    <mergeCell ref="B449:B455"/>
    <mergeCell ref="A456:A462"/>
    <mergeCell ref="B456:B462"/>
    <mergeCell ref="A463:A469"/>
    <mergeCell ref="B463:B469"/>
    <mergeCell ref="A470:A476"/>
    <mergeCell ref="B470:B476"/>
    <mergeCell ref="A477:A483"/>
    <mergeCell ref="B477:B483"/>
    <mergeCell ref="A484:A490"/>
    <mergeCell ref="B484:B490"/>
    <mergeCell ref="A491:A497"/>
    <mergeCell ref="B491:B497"/>
    <mergeCell ref="A498:A504"/>
    <mergeCell ref="B498:B504"/>
    <mergeCell ref="A505:A511"/>
    <mergeCell ref="B505:B511"/>
    <mergeCell ref="A512:A518"/>
    <mergeCell ref="B512:B518"/>
    <mergeCell ref="A519:A526"/>
    <mergeCell ref="B519:B526"/>
  </mergeCells>
  <printOptions/>
  <pageMargins left="0.7875" right="0.5902777777777778" top="0.5902777777777778" bottom="0.5902777777777778" header="0.5118055555555555" footer="0.5118055555555555"/>
  <pageSetup fitToHeight="6"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dc:creator>
  <cp:keywords/>
  <dc:description/>
  <cp:lastModifiedBy>Olga Tretyakova</cp:lastModifiedBy>
  <cp:lastPrinted>2014-10-21T08:19:45Z</cp:lastPrinted>
  <dcterms:created xsi:type="dcterms:W3CDTF">2012-02-05T08:39:49Z</dcterms:created>
  <dcterms:modified xsi:type="dcterms:W3CDTF">2014-10-21T08:25:48Z</dcterms:modified>
  <cp:category/>
  <cp:version/>
  <cp:contentType/>
  <cp:contentStatus/>
  <cp:revision>430</cp:revision>
</cp:coreProperties>
</file>